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logan\Downloads\"/>
    </mc:Choice>
  </mc:AlternateContent>
  <xr:revisionPtr revIDLastSave="0" documentId="8_{ABE8AE98-A492-4131-8C16-E0DD63E048A4}" xr6:coauthVersionLast="47" xr6:coauthVersionMax="47" xr10:uidLastSave="{00000000-0000-0000-0000-000000000000}"/>
  <bookViews>
    <workbookView xWindow="-108" yWindow="-108" windowWidth="23256" windowHeight="12456" firstSheet="3" activeTab="7" xr2:uid="{F8D51AF8-14D9-4A12-8502-7045644D379F}"/>
  </bookViews>
  <sheets>
    <sheet name="Instructions" sheetId="18" r:id="rId1"/>
    <sheet name="Judicial Dashboard" sheetId="20" r:id="rId2"/>
    <sheet name="Judicial Detail View" sheetId="16" r:id="rId3"/>
    <sheet name="Attorney Detail View" sheetId="15" r:id="rId4"/>
    <sheet name="1 - Data Source Estimates" sheetId="14" r:id="rId5"/>
    <sheet name="2. Costs" sheetId="12" r:id="rId6"/>
    <sheet name="3. Assumptions" sheetId="11" r:id="rId7"/>
    <sheet name="4. Calculations" sheetId="1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13" l="1"/>
  <c r="E75" i="13"/>
  <c r="F75" i="13"/>
  <c r="G75" i="13"/>
  <c r="H75" i="13"/>
  <c r="I75" i="13"/>
  <c r="C75" i="13"/>
  <c r="B3" i="16"/>
  <c r="C3" i="16"/>
  <c r="D3" i="16"/>
  <c r="E3" i="16"/>
  <c r="F3" i="16"/>
  <c r="H94" i="13"/>
  <c r="H80" i="13"/>
  <c r="C78" i="13"/>
  <c r="D78" i="13"/>
  <c r="E78" i="13"/>
  <c r="F78" i="13"/>
  <c r="G78" i="13"/>
  <c r="H78" i="13"/>
  <c r="I78" i="13" l="1"/>
  <c r="I59" i="13"/>
  <c r="D60" i="13" s="1"/>
  <c r="I112" i="13"/>
  <c r="I109" i="13"/>
  <c r="I106" i="13"/>
  <c r="I98" i="13"/>
  <c r="I30" i="13"/>
  <c r="I22" i="13"/>
  <c r="I21" i="13"/>
  <c r="I10" i="13"/>
  <c r="G9" i="13"/>
  <c r="F9" i="13"/>
  <c r="E9" i="13"/>
  <c r="D9" i="13"/>
  <c r="I6" i="13"/>
  <c r="H5" i="14"/>
  <c r="R22" i="14"/>
  <c r="O22" i="14"/>
  <c r="L22" i="14"/>
  <c r="I22" i="14"/>
  <c r="F22" i="14"/>
  <c r="E60" i="13" l="1"/>
  <c r="C60" i="13"/>
  <c r="G60" i="13"/>
  <c r="F60" i="13"/>
  <c r="H90" i="13"/>
  <c r="H85" i="13"/>
  <c r="H72" i="13"/>
  <c r="F28" i="15"/>
  <c r="E28" i="15"/>
  <c r="D28" i="15"/>
  <c r="C28" i="15"/>
  <c r="F27" i="15"/>
  <c r="E27" i="15"/>
  <c r="D27" i="15"/>
  <c r="C27" i="15"/>
  <c r="F26" i="15"/>
  <c r="E26" i="15"/>
  <c r="D26" i="15"/>
  <c r="C26" i="15"/>
  <c r="F25" i="15"/>
  <c r="E25" i="15"/>
  <c r="D25" i="15"/>
  <c r="C25" i="15"/>
  <c r="I60" i="13" l="1"/>
  <c r="H91" i="13"/>
  <c r="H100" i="13"/>
  <c r="G100" i="13"/>
  <c r="F23" i="15" s="1"/>
  <c r="F100" i="13"/>
  <c r="E23" i="15" s="1"/>
  <c r="E100" i="13"/>
  <c r="D23" i="15" s="1"/>
  <c r="D100" i="13"/>
  <c r="C23" i="15" s="1"/>
  <c r="F15" i="15"/>
  <c r="E15" i="15"/>
  <c r="D15" i="15"/>
  <c r="C15" i="15"/>
  <c r="H32" i="13"/>
  <c r="G32" i="13"/>
  <c r="F32" i="13"/>
  <c r="E32" i="13"/>
  <c r="D32" i="13"/>
  <c r="F6" i="16" l="1"/>
  <c r="F9" i="15"/>
  <c r="C6" i="16"/>
  <c r="C9" i="15"/>
  <c r="D6" i="16"/>
  <c r="D9" i="15"/>
  <c r="E6" i="16"/>
  <c r="E9" i="15"/>
  <c r="H23" i="13"/>
  <c r="H24" i="13" s="1"/>
  <c r="H27" i="13" s="1"/>
  <c r="H29" i="13" s="1"/>
  <c r="H36" i="13" s="1"/>
  <c r="H40" i="13" s="1"/>
  <c r="H42" i="13" s="1"/>
  <c r="G23" i="13"/>
  <c r="F23" i="13"/>
  <c r="E23" i="13"/>
  <c r="D23" i="13"/>
  <c r="H14" i="13"/>
  <c r="H17" i="13" s="1"/>
  <c r="G14" i="13"/>
  <c r="G17" i="13" s="1"/>
  <c r="F14" i="13"/>
  <c r="F17" i="13" s="1"/>
  <c r="E14" i="13"/>
  <c r="D14" i="13"/>
  <c r="D17" i="13" s="1"/>
  <c r="H11" i="13"/>
  <c r="G11" i="13"/>
  <c r="F11" i="13"/>
  <c r="E11" i="13"/>
  <c r="D11" i="13"/>
  <c r="C4" i="15" s="1"/>
  <c r="H8" i="13"/>
  <c r="G8" i="13"/>
  <c r="F8" i="13"/>
  <c r="E8" i="13"/>
  <c r="D8" i="13"/>
  <c r="E17" i="13" l="1"/>
  <c r="E18" i="13" s="1"/>
  <c r="H44" i="13"/>
  <c r="H46" i="13"/>
  <c r="D5" i="16"/>
  <c r="D4" i="15"/>
  <c r="E5" i="16"/>
  <c r="E4" i="15"/>
  <c r="F5" i="16"/>
  <c r="F4" i="15"/>
  <c r="H47" i="13"/>
  <c r="H38" i="13"/>
  <c r="F18" i="13"/>
  <c r="H18" i="13"/>
  <c r="G18" i="13"/>
  <c r="D18" i="13"/>
  <c r="B27" i="15"/>
  <c r="B26" i="15"/>
  <c r="B25" i="15"/>
  <c r="C100" i="13"/>
  <c r="B23" i="15" s="1"/>
  <c r="C32" i="13"/>
  <c r="C23" i="13"/>
  <c r="I23" i="13" s="1"/>
  <c r="C14" i="13"/>
  <c r="E6" i="12"/>
  <c r="H4" i="14"/>
  <c r="Q21" i="14"/>
  <c r="Q20" i="14"/>
  <c r="Q19" i="14"/>
  <c r="Q18" i="14"/>
  <c r="Q17" i="14"/>
  <c r="Q16" i="14"/>
  <c r="Q15" i="14"/>
  <c r="Q14" i="14"/>
  <c r="Q13" i="14"/>
  <c r="Q12" i="14"/>
  <c r="Q11" i="14"/>
  <c r="Q10" i="14"/>
  <c r="Q9" i="14"/>
  <c r="Q8" i="14"/>
  <c r="Q7" i="14"/>
  <c r="Q6" i="14"/>
  <c r="Q5" i="14"/>
  <c r="Q4" i="14"/>
  <c r="N21" i="14"/>
  <c r="N20" i="14"/>
  <c r="N19" i="14"/>
  <c r="N18" i="14"/>
  <c r="N17" i="14"/>
  <c r="N16" i="14"/>
  <c r="N15" i="14"/>
  <c r="N14" i="14"/>
  <c r="N13" i="14"/>
  <c r="N12" i="14"/>
  <c r="N11" i="14"/>
  <c r="N10" i="14"/>
  <c r="N9" i="14"/>
  <c r="N8" i="14"/>
  <c r="N7" i="14"/>
  <c r="N6" i="14"/>
  <c r="N5" i="14"/>
  <c r="N4" i="14"/>
  <c r="K21" i="14"/>
  <c r="K20" i="14"/>
  <c r="K19" i="14"/>
  <c r="K18" i="14"/>
  <c r="K17" i="14"/>
  <c r="K16" i="14"/>
  <c r="K15" i="14"/>
  <c r="K14" i="14"/>
  <c r="K13" i="14"/>
  <c r="K12" i="14"/>
  <c r="K11" i="14"/>
  <c r="K10" i="14"/>
  <c r="K9" i="14"/>
  <c r="K8" i="14"/>
  <c r="K7" i="14"/>
  <c r="K6" i="14"/>
  <c r="K5" i="14"/>
  <c r="K4" i="14"/>
  <c r="H21" i="14"/>
  <c r="H20" i="14"/>
  <c r="H19" i="14"/>
  <c r="H18" i="14"/>
  <c r="H17" i="14"/>
  <c r="H16" i="14"/>
  <c r="H15" i="14"/>
  <c r="H14" i="14"/>
  <c r="H13" i="14"/>
  <c r="H12" i="14"/>
  <c r="H11" i="14"/>
  <c r="H10" i="14"/>
  <c r="H9" i="14"/>
  <c r="H8" i="14"/>
  <c r="H7" i="14"/>
  <c r="H6" i="14"/>
  <c r="E21" i="14"/>
  <c r="T21" i="14" s="1"/>
  <c r="E20" i="14"/>
  <c r="E19" i="14"/>
  <c r="T19" i="14" s="1"/>
  <c r="E18" i="14"/>
  <c r="T18" i="14" s="1"/>
  <c r="E17" i="14"/>
  <c r="T17" i="14" s="1"/>
  <c r="E16" i="14"/>
  <c r="E15" i="14"/>
  <c r="T15" i="14" s="1"/>
  <c r="E14" i="14"/>
  <c r="T14" i="14" s="1"/>
  <c r="E13" i="14"/>
  <c r="T13" i="14" s="1"/>
  <c r="E12" i="14"/>
  <c r="E11" i="14"/>
  <c r="T11" i="14" s="1"/>
  <c r="E10" i="14"/>
  <c r="T10" i="14" s="1"/>
  <c r="E9" i="14"/>
  <c r="T9" i="14" s="1"/>
  <c r="E8" i="14"/>
  <c r="T8" i="14" s="1"/>
  <c r="E7" i="14"/>
  <c r="T7" i="14" s="1"/>
  <c r="E6" i="14"/>
  <c r="T6" i="14" s="1"/>
  <c r="E5" i="14"/>
  <c r="T5" i="14" s="1"/>
  <c r="E4" i="14"/>
  <c r="T4" i="14" s="1"/>
  <c r="B9" i="15" l="1"/>
  <c r="I32" i="13"/>
  <c r="B5" i="15"/>
  <c r="I14" i="13"/>
  <c r="C17" i="13"/>
  <c r="U12" i="14"/>
  <c r="T12" i="14"/>
  <c r="U16" i="14"/>
  <c r="T16" i="14"/>
  <c r="U20" i="14"/>
  <c r="T20" i="14"/>
  <c r="U9" i="14"/>
  <c r="U13" i="14"/>
  <c r="U17" i="14"/>
  <c r="U21" i="14"/>
  <c r="U10" i="14"/>
  <c r="U14" i="14"/>
  <c r="U18" i="14"/>
  <c r="U7" i="14"/>
  <c r="U11" i="14"/>
  <c r="U15" i="14"/>
  <c r="U19" i="14"/>
  <c r="U5" i="14"/>
  <c r="G3" i="16"/>
  <c r="L3" i="20" s="1"/>
  <c r="U8" i="14"/>
  <c r="U6" i="14"/>
  <c r="H22" i="14"/>
  <c r="D20" i="13" s="1"/>
  <c r="D24" i="13" s="1"/>
  <c r="Q22" i="14"/>
  <c r="F24" i="13" s="1"/>
  <c r="F29" i="13" s="1"/>
  <c r="F36" i="13" s="1"/>
  <c r="B15" i="15"/>
  <c r="F7" i="15"/>
  <c r="D7" i="15"/>
  <c r="E7" i="15"/>
  <c r="C7" i="15"/>
  <c r="C5" i="16"/>
  <c r="H49" i="13"/>
  <c r="H50" i="13" s="1"/>
  <c r="H65" i="13"/>
  <c r="H69" i="13" s="1"/>
  <c r="H54" i="13"/>
  <c r="H56" i="13" s="1"/>
  <c r="H61" i="13" s="1"/>
  <c r="N22" i="14"/>
  <c r="G24" i="13" s="1"/>
  <c r="B6" i="16"/>
  <c r="G6" i="16" s="1"/>
  <c r="H13" i="20" s="1"/>
  <c r="U4" i="14"/>
  <c r="K22" i="14"/>
  <c r="E20" i="13" s="1"/>
  <c r="E24" i="13" s="1"/>
  <c r="B6" i="15" l="1"/>
  <c r="I17" i="13"/>
  <c r="G29" i="13"/>
  <c r="G36" i="13" s="1"/>
  <c r="F8" i="15"/>
  <c r="E8" i="15"/>
  <c r="D8" i="15"/>
  <c r="E27" i="13"/>
  <c r="E29" i="13" s="1"/>
  <c r="E36" i="13" s="1"/>
  <c r="D27" i="13"/>
  <c r="D29" i="13" s="1"/>
  <c r="D36" i="13" s="1"/>
  <c r="C8" i="15"/>
  <c r="F38" i="13"/>
  <c r="E10" i="15" s="1"/>
  <c r="F40" i="13"/>
  <c r="F42" i="13" s="1"/>
  <c r="H66" i="13"/>
  <c r="H95" i="13"/>
  <c r="H97" i="13" s="1"/>
  <c r="H101" i="13" s="1"/>
  <c r="F44" i="13" l="1"/>
  <c r="F46" i="13"/>
  <c r="D40" i="13"/>
  <c r="D42" i="13" s="1"/>
  <c r="D38" i="13"/>
  <c r="C10" i="15" s="1"/>
  <c r="E40" i="13"/>
  <c r="E42" i="13" s="1"/>
  <c r="E38" i="13"/>
  <c r="D10" i="15" s="1"/>
  <c r="G38" i="13"/>
  <c r="F10" i="15" s="1"/>
  <c r="G40" i="13"/>
  <c r="G42" i="13" s="1"/>
  <c r="F47" i="13"/>
  <c r="E11" i="15"/>
  <c r="H74" i="13"/>
  <c r="H82" i="13" s="1"/>
  <c r="H87" i="13" s="1"/>
  <c r="C22" i="14"/>
  <c r="G44" i="13" l="1"/>
  <c r="G46" i="13"/>
  <c r="D44" i="13"/>
  <c r="D47" i="13" s="1"/>
  <c r="D46" i="13"/>
  <c r="C11" i="15" s="1"/>
  <c r="E44" i="13"/>
  <c r="E46" i="13"/>
  <c r="D11" i="15" s="1"/>
  <c r="C23" i="14"/>
  <c r="C9" i="13"/>
  <c r="G47" i="13"/>
  <c r="F11" i="15"/>
  <c r="E47" i="13"/>
  <c r="F54" i="13"/>
  <c r="F56" i="13" s="1"/>
  <c r="F61" i="13" s="1"/>
  <c r="F49" i="13"/>
  <c r="F65" i="13"/>
  <c r="E22" i="14"/>
  <c r="T22" i="14" s="1"/>
  <c r="C11" i="13" l="1"/>
  <c r="B4" i="15" s="1"/>
  <c r="I9" i="13"/>
  <c r="E49" i="13"/>
  <c r="E65" i="13"/>
  <c r="E54" i="13"/>
  <c r="E56" i="13" s="1"/>
  <c r="E61" i="13" s="1"/>
  <c r="G54" i="13"/>
  <c r="G56" i="13" s="1"/>
  <c r="G61" i="13" s="1"/>
  <c r="G65" i="13"/>
  <c r="G49" i="13"/>
  <c r="D49" i="13"/>
  <c r="D65" i="13"/>
  <c r="D54" i="13"/>
  <c r="D56" i="13" s="1"/>
  <c r="D61" i="13" s="1"/>
  <c r="C20" i="13"/>
  <c r="E12" i="15"/>
  <c r="F50" i="13"/>
  <c r="F66" i="13"/>
  <c r="F69" i="13"/>
  <c r="E14" i="15"/>
  <c r="U22" i="14"/>
  <c r="C24" i="13" l="1"/>
  <c r="I24" i="13" s="1"/>
  <c r="I20" i="13"/>
  <c r="D66" i="13"/>
  <c r="D69" i="13"/>
  <c r="D14" i="15"/>
  <c r="F14" i="15"/>
  <c r="D50" i="13"/>
  <c r="C12" i="15"/>
  <c r="G50" i="13"/>
  <c r="F12" i="15"/>
  <c r="E66" i="13"/>
  <c r="E69" i="13"/>
  <c r="C14" i="15"/>
  <c r="G66" i="13"/>
  <c r="G69" i="13"/>
  <c r="E50" i="13"/>
  <c r="D12" i="15"/>
  <c r="E16" i="15"/>
  <c r="E8" i="16"/>
  <c r="F72" i="13"/>
  <c r="E17" i="15" s="1"/>
  <c r="F74" i="13"/>
  <c r="F80" i="13" s="1"/>
  <c r="E7" i="16"/>
  <c r="E13" i="15"/>
  <c r="B8" i="15" l="1"/>
  <c r="C27" i="13"/>
  <c r="C29" i="13"/>
  <c r="I27" i="13"/>
  <c r="D7" i="16"/>
  <c r="D13" i="15"/>
  <c r="C8" i="16"/>
  <c r="C16" i="15"/>
  <c r="F7" i="16"/>
  <c r="F13" i="15"/>
  <c r="F8" i="16"/>
  <c r="F16" i="15"/>
  <c r="G74" i="13"/>
  <c r="G80" i="13" s="1"/>
  <c r="G72" i="13"/>
  <c r="F17" i="15" s="1"/>
  <c r="E72" i="13"/>
  <c r="D17" i="15" s="1"/>
  <c r="E74" i="13"/>
  <c r="E80" i="13" s="1"/>
  <c r="D72" i="13"/>
  <c r="C17" i="15" s="1"/>
  <c r="D74" i="13"/>
  <c r="D80" i="13" s="1"/>
  <c r="C7" i="16"/>
  <c r="C13" i="15"/>
  <c r="D8" i="16"/>
  <c r="D16" i="15"/>
  <c r="E18" i="15"/>
  <c r="F82" i="13"/>
  <c r="C36" i="13" l="1"/>
  <c r="I29" i="13"/>
  <c r="D18" i="15"/>
  <c r="C18" i="15"/>
  <c r="F18" i="15"/>
  <c r="F85" i="13"/>
  <c r="E19" i="15" s="1"/>
  <c r="F87" i="13"/>
  <c r="C38" i="13" l="1"/>
  <c r="I36" i="13"/>
  <c r="C40" i="13"/>
  <c r="E82" i="13"/>
  <c r="G82" i="13"/>
  <c r="D82" i="13"/>
  <c r="F90" i="13"/>
  <c r="F94" i="13"/>
  <c r="F95" i="13" s="1"/>
  <c r="C42" i="13" l="1"/>
  <c r="C46" i="13" s="1"/>
  <c r="I40" i="13"/>
  <c r="B10" i="15"/>
  <c r="I38" i="13"/>
  <c r="G85" i="13"/>
  <c r="F19" i="15" s="1"/>
  <c r="G87" i="13"/>
  <c r="D85" i="13"/>
  <c r="C19" i="15" s="1"/>
  <c r="D87" i="13"/>
  <c r="E85" i="13"/>
  <c r="D19" i="15" s="1"/>
  <c r="E87" i="13"/>
  <c r="F97" i="13"/>
  <c r="E4" i="16"/>
  <c r="E20" i="15"/>
  <c r="F91" i="13"/>
  <c r="C44" i="13" l="1"/>
  <c r="I42" i="13"/>
  <c r="E90" i="13"/>
  <c r="E94" i="13"/>
  <c r="E95" i="13" s="1"/>
  <c r="G90" i="13"/>
  <c r="G94" i="13"/>
  <c r="G95" i="13" s="1"/>
  <c r="D90" i="13"/>
  <c r="D94" i="13"/>
  <c r="D95" i="13" s="1"/>
  <c r="E21" i="15"/>
  <c r="E9" i="16"/>
  <c r="F101" i="13"/>
  <c r="E22" i="15"/>
  <c r="C47" i="13" l="1"/>
  <c r="I44" i="13"/>
  <c r="G97" i="13"/>
  <c r="F4" i="16"/>
  <c r="F20" i="15"/>
  <c r="G91" i="13"/>
  <c r="E97" i="13"/>
  <c r="D4" i="16"/>
  <c r="B28" i="15"/>
  <c r="C4" i="16"/>
  <c r="D97" i="13"/>
  <c r="C20" i="15"/>
  <c r="D91" i="13"/>
  <c r="D20" i="15"/>
  <c r="E91" i="13"/>
  <c r="E10" i="16"/>
  <c r="E24" i="15"/>
  <c r="B11" i="15" l="1"/>
  <c r="I46" i="13"/>
  <c r="C65" i="13"/>
  <c r="I47" i="13"/>
  <c r="C54" i="13"/>
  <c r="C49" i="13"/>
  <c r="F9" i="16"/>
  <c r="F21" i="15"/>
  <c r="C9" i="16"/>
  <c r="C21" i="15"/>
  <c r="D9" i="16"/>
  <c r="D21" i="15"/>
  <c r="D101" i="13"/>
  <c r="C22" i="15"/>
  <c r="D22" i="15"/>
  <c r="E101" i="13"/>
  <c r="F22" i="15"/>
  <c r="G101" i="13"/>
  <c r="I49" i="13" l="1"/>
  <c r="C50" i="13"/>
  <c r="B12" i="15"/>
  <c r="C69" i="13"/>
  <c r="I65" i="13"/>
  <c r="C66" i="13"/>
  <c r="I66" i="13" s="1"/>
  <c r="I54" i="13"/>
  <c r="C56" i="13"/>
  <c r="C61" i="13" s="1"/>
  <c r="D10" i="16"/>
  <c r="D24" i="15"/>
  <c r="F24" i="15"/>
  <c r="F10" i="16"/>
  <c r="C10" i="16"/>
  <c r="C24" i="15"/>
  <c r="I50" i="13" l="1"/>
  <c r="B13" i="15"/>
  <c r="B7" i="16"/>
  <c r="G7" i="16" s="1"/>
  <c r="M13" i="20" s="1"/>
  <c r="I56" i="13"/>
  <c r="B14" i="15"/>
  <c r="C74" i="13"/>
  <c r="C80" i="13" s="1"/>
  <c r="I69" i="13"/>
  <c r="C72" i="13"/>
  <c r="B17" i="15" l="1"/>
  <c r="I72" i="13"/>
  <c r="I114" i="13" s="1"/>
  <c r="I115" i="13" s="1"/>
  <c r="I61" i="13"/>
  <c r="B8" i="16"/>
  <c r="B16" i="15"/>
  <c r="I74" i="13"/>
  <c r="G8" i="16" l="1"/>
  <c r="R13" i="20" s="1"/>
  <c r="F117" i="13"/>
  <c r="C117" i="13"/>
  <c r="G117" i="13"/>
  <c r="D117" i="13"/>
  <c r="E117" i="13"/>
  <c r="H119" i="13"/>
  <c r="I80" i="13"/>
  <c r="C82" i="13"/>
  <c r="B18" i="15"/>
  <c r="I82" i="13" l="1"/>
  <c r="C87" i="13"/>
  <c r="C90" i="13" s="1"/>
  <c r="C85" i="13"/>
  <c r="C29" i="15"/>
  <c r="C30" i="15" s="1"/>
  <c r="D119" i="13"/>
  <c r="I117" i="13"/>
  <c r="B29" i="15"/>
  <c r="F11" i="16"/>
  <c r="F12" i="16" s="1"/>
  <c r="B11" i="16"/>
  <c r="D11" i="16"/>
  <c r="D12" i="16" s="1"/>
  <c r="C11" i="16"/>
  <c r="C12" i="16" s="1"/>
  <c r="E11" i="16"/>
  <c r="E12" i="16" s="1"/>
  <c r="D29" i="15"/>
  <c r="D30" i="15" s="1"/>
  <c r="E119" i="13"/>
  <c r="C94" i="13"/>
  <c r="F29" i="15"/>
  <c r="F30" i="15" s="1"/>
  <c r="G119" i="13"/>
  <c r="F119" i="13"/>
  <c r="E29" i="15"/>
  <c r="E30" i="15" s="1"/>
  <c r="C91" i="13" l="1"/>
  <c r="I90" i="13"/>
  <c r="B20" i="15"/>
  <c r="C95" i="13"/>
  <c r="I94" i="13"/>
  <c r="B19" i="15"/>
  <c r="I85" i="13"/>
  <c r="G11" i="16"/>
  <c r="M27" i="20" s="1"/>
  <c r="I95" i="13" l="1"/>
  <c r="C97" i="13"/>
  <c r="B4" i="16"/>
  <c r="G4" i="16" s="1"/>
  <c r="Q3" i="20" s="1"/>
  <c r="I91" i="13"/>
  <c r="B9" i="16"/>
  <c r="G9" i="16" s="1"/>
  <c r="C27" i="20" s="1"/>
  <c r="B21" i="15"/>
  <c r="I97" i="13" l="1"/>
  <c r="C101" i="13"/>
  <c r="B22" i="15"/>
  <c r="I101" i="13" l="1"/>
  <c r="B24" i="15"/>
  <c r="B10" i="16"/>
  <c r="G10" i="16" s="1"/>
  <c r="H27" i="20" s="1"/>
  <c r="C8" i="13" l="1"/>
  <c r="B3" i="15" l="1"/>
  <c r="I8" i="13"/>
  <c r="C18" i="13"/>
  <c r="B5" i="16" s="1"/>
  <c r="C119" i="13" l="1"/>
  <c r="I119" i="13" s="1"/>
  <c r="I18" i="13"/>
  <c r="B7" i="15"/>
  <c r="B30" i="15" s="1"/>
  <c r="G5" i="16"/>
  <c r="B12" i="16"/>
  <c r="C13" i="20" l="1"/>
  <c r="G12" i="16"/>
  <c r="BG17" i="20" l="1"/>
  <c r="BG15" i="20"/>
  <c r="V3" i="20"/>
  <c r="C18" i="20" s="1"/>
  <c r="BG18" i="20"/>
  <c r="BG19" i="20"/>
  <c r="BG16" i="20"/>
  <c r="BG14" i="20"/>
  <c r="M32" i="20" l="1"/>
  <c r="H18" i="20"/>
  <c r="M18" i="20"/>
  <c r="C32" i="20"/>
  <c r="R18" i="20"/>
  <c r="H32" i="20"/>
</calcChain>
</file>

<file path=xl/sharedStrings.xml><?xml version="1.0" encoding="utf-8"?>
<sst xmlns="http://schemas.openxmlformats.org/spreadsheetml/2006/main" count="600" uniqueCount="518">
  <si>
    <t>Discovery Proportionality Model
Calculator Instructions</t>
  </si>
  <si>
    <r>
      <t xml:space="preserve">Follow the steps outlined below to use the </t>
    </r>
    <r>
      <rPr>
        <b/>
        <sz val="11"/>
        <color theme="1"/>
        <rFont val="Arial"/>
        <family val="2"/>
      </rPr>
      <t>Step 4.</t>
    </r>
    <r>
      <rPr>
        <sz val="11"/>
        <color theme="1"/>
        <rFont val="Arial"/>
        <family val="2"/>
      </rPr>
      <t xml:space="preserve"> </t>
    </r>
    <r>
      <rPr>
        <b/>
        <sz val="11"/>
        <color theme="1"/>
        <rFont val="Arial"/>
        <family val="2"/>
      </rPr>
      <t>Calculations</t>
    </r>
    <r>
      <rPr>
        <b/>
        <i/>
        <sz val="11"/>
        <color theme="1"/>
        <rFont val="Arial"/>
        <family val="2"/>
      </rPr>
      <t xml:space="preserve"> </t>
    </r>
    <r>
      <rPr>
        <sz val="11"/>
        <color theme="1"/>
        <rFont val="Arial"/>
        <family val="2"/>
      </rPr>
      <t xml:space="preserve">to obtain estimates of the ediscovery costs for your specific matter. The results are presented in two different formats, one for the attorneys that includes full details, and then another which provides the higher level amounts you may want to present to a judge in the context of a proportionality dispute. 
PLEASE NOTE: There are seven tabs included in the workbook designed to guide you through from start to finish. The first three tabs will display your results. Start your calculations with </t>
    </r>
    <r>
      <rPr>
        <b/>
        <sz val="11"/>
        <color theme="1"/>
        <rFont val="Arial"/>
        <family val="2"/>
      </rPr>
      <t>Step 1. Data Source Estimation</t>
    </r>
  </si>
  <si>
    <r>
      <rPr>
        <b/>
        <sz val="11"/>
        <color theme="1"/>
        <rFont val="Arial"/>
        <family val="2"/>
      </rPr>
      <t xml:space="preserve">Judicial Dashboard
</t>
    </r>
    <r>
      <rPr>
        <sz val="11"/>
        <color theme="1"/>
        <rFont val="Arial"/>
        <family val="2"/>
      </rPr>
      <t>This tab displays a dashboard style overview of the costs associated with each stage of the ESI project and also provides a per source breakdown.</t>
    </r>
  </si>
  <si>
    <r>
      <rPr>
        <b/>
        <sz val="11"/>
        <color theme="1"/>
        <rFont val="Arial"/>
        <family val="2"/>
      </rPr>
      <t>Judicial Detail View</t>
    </r>
    <r>
      <rPr>
        <sz val="11"/>
        <color theme="1"/>
        <rFont val="Arial"/>
        <family val="2"/>
      </rPr>
      <t xml:space="preserve">
This tab represents the total costs in streamlined view that you may want to present to a Judge.</t>
    </r>
  </si>
  <si>
    <r>
      <rPr>
        <b/>
        <sz val="11"/>
        <color theme="1"/>
        <rFont val="Arial"/>
        <family val="2"/>
      </rPr>
      <t>Attorney Detail View</t>
    </r>
    <r>
      <rPr>
        <sz val="11"/>
        <color theme="1"/>
        <rFont val="Arial"/>
        <family val="2"/>
      </rPr>
      <t xml:space="preserve">
The results presented here depict the subtotal costs from the Standard Review Calculator for each pertinent eDiscovery stages.</t>
    </r>
  </si>
  <si>
    <r>
      <rPr>
        <b/>
        <i/>
        <u/>
        <sz val="11"/>
        <color rgb="FF0070C0"/>
        <rFont val="Arial"/>
        <family val="2"/>
      </rPr>
      <t>Step 1.</t>
    </r>
    <r>
      <rPr>
        <b/>
        <i/>
        <sz val="11"/>
        <color rgb="FF0070C0"/>
        <rFont val="Arial"/>
        <family val="2"/>
      </rPr>
      <t xml:space="preserve"> </t>
    </r>
    <r>
      <rPr>
        <b/>
        <sz val="11"/>
        <color rgb="FF0070C0"/>
        <rFont val="Arial"/>
        <family val="2"/>
      </rPr>
      <t>Data Source Estimates:</t>
    </r>
    <r>
      <rPr>
        <sz val="11"/>
        <color theme="1"/>
        <rFont val="Arial"/>
        <family val="2"/>
      </rPr>
      <t xml:space="preserve">
Typically the discovery process begins by identifying people who have information potentially relevant to a matter.  From a technology perspective, such person or groups of like people are considered "custodians" of "data" or Electronically Stored Information (ESI) pertinent to the case. </t>
    </r>
    <r>
      <rPr>
        <b/>
        <i/>
        <sz val="11"/>
        <color theme="1"/>
        <rFont val="Arial"/>
        <family val="2"/>
      </rPr>
      <t xml:space="preserve"> Tab  #1: Data Source Estimates</t>
    </r>
    <r>
      <rPr>
        <sz val="11"/>
        <color theme="1"/>
        <rFont val="Arial"/>
        <family val="2"/>
      </rPr>
      <t xml:space="preserve"> allows you to list those custodians, data sources and the associated  data volumes anticipated for each.  </t>
    </r>
  </si>
  <si>
    <r>
      <rPr>
        <b/>
        <i/>
        <u/>
        <sz val="11"/>
        <color rgb="FF0070C0"/>
        <rFont val="Arial"/>
        <family val="2"/>
      </rPr>
      <t>Step 2.</t>
    </r>
    <r>
      <rPr>
        <b/>
        <i/>
        <sz val="11"/>
        <color rgb="FF0070C0"/>
        <rFont val="Arial"/>
        <family val="2"/>
      </rPr>
      <t xml:space="preserve">  </t>
    </r>
    <r>
      <rPr>
        <b/>
        <sz val="11"/>
        <color rgb="FF0070C0"/>
        <rFont val="Arial"/>
        <family val="2"/>
      </rPr>
      <t>Cost Values:</t>
    </r>
    <r>
      <rPr>
        <sz val="11"/>
        <color rgb="FF0070C0"/>
        <rFont val="Arial"/>
        <family val="2"/>
      </rPr>
      <t xml:space="preserve"> </t>
    </r>
    <r>
      <rPr>
        <sz val="11"/>
        <color theme="1"/>
        <rFont val="Arial"/>
        <family val="2"/>
      </rPr>
      <t xml:space="preserve">
After identifying data sources and volumes, determine costs for each type of device being collected and each ediscovery phase that follows: Collection, Pre-processing, Processing, Hosting, Review, and Production.  Exemplar prices in this calculator should be replaced if you already have obtained rates in your particular matter. Additionally, not all line items (rows) apply in each case, the definitions columns can guide you in making these determinations.  In some instances you must chose among alternate pricing options   For example, some vendors charge hourly work for particular tasks, while others base this on the gigabyte volume, or even a set rate per source (each email account, computer hard drive, mobile device, or social media account, etc.).  See </t>
    </r>
    <r>
      <rPr>
        <b/>
        <i/>
        <sz val="11"/>
        <color theme="1"/>
        <rFont val="Arial"/>
        <family val="2"/>
      </rPr>
      <t>Tab #2: Costs</t>
    </r>
    <r>
      <rPr>
        <sz val="11"/>
        <color theme="1"/>
        <rFont val="Arial"/>
        <family val="2"/>
      </rPr>
      <t xml:space="preserve"> for our examples.</t>
    </r>
  </si>
  <si>
    <r>
      <rPr>
        <b/>
        <i/>
        <u/>
        <sz val="11"/>
        <color rgb="FF0070C0"/>
        <rFont val="Arial"/>
        <family val="2"/>
      </rPr>
      <t>Step 3.</t>
    </r>
    <r>
      <rPr>
        <b/>
        <sz val="11"/>
        <color theme="1"/>
        <rFont val="Arial"/>
        <family val="2"/>
      </rPr>
      <t xml:space="preserve">  </t>
    </r>
    <r>
      <rPr>
        <b/>
        <sz val="11"/>
        <color rgb="FF0070C0"/>
        <rFont val="Arial"/>
        <family val="2"/>
      </rPr>
      <t>Assumptions:</t>
    </r>
    <r>
      <rPr>
        <sz val="11"/>
        <color theme="1"/>
        <rFont val="Arial"/>
        <family val="2"/>
      </rPr>
      <t xml:space="preserve">
Data volumes grow or shrink through the various ediscovery processes.  For instance, data from .zip or .pst files expand when processed, whereas keyword culling and email threading, reduces the total data size. The calculator uses industry averages as default values for these expansion and reduction rates. Obviously, most of the ediscovery work is focused on narrowing the overall data volume to eliminate files not likely to be relevant.  This filtering can be done by keyword searches, date range culling, data type filters, custodian filters, domain analysis, etc.  Other advanced analytics tools can also remove document counts and thereby lower overall project costs.  Any of these assumptions  can be edited if you have reason for doing so. See </t>
    </r>
    <r>
      <rPr>
        <b/>
        <i/>
        <sz val="11"/>
        <color theme="1"/>
        <rFont val="Arial"/>
        <family val="2"/>
      </rPr>
      <t>Tab #3: Assumptions</t>
    </r>
    <r>
      <rPr>
        <sz val="11"/>
        <color theme="1"/>
        <rFont val="Arial"/>
        <family val="2"/>
      </rPr>
      <t xml:space="preserve"> for our examples.</t>
    </r>
  </si>
  <si>
    <r>
      <rPr>
        <b/>
        <i/>
        <u/>
        <sz val="11"/>
        <color rgb="FF0070C0"/>
        <rFont val="Arial"/>
        <family val="2"/>
      </rPr>
      <t>Step 4.</t>
    </r>
    <r>
      <rPr>
        <b/>
        <sz val="11"/>
        <color rgb="FF0070C0"/>
        <rFont val="Arial"/>
        <family val="2"/>
      </rPr>
      <t xml:space="preserve"> </t>
    </r>
    <r>
      <rPr>
        <sz val="11"/>
        <color rgb="FF0070C0"/>
        <rFont val="Arial"/>
        <family val="2"/>
      </rPr>
      <t xml:space="preserve"> </t>
    </r>
    <r>
      <rPr>
        <b/>
        <sz val="11"/>
        <color rgb="FF0070C0"/>
        <rFont val="Arial"/>
        <family val="2"/>
      </rPr>
      <t>Calculations:</t>
    </r>
    <r>
      <rPr>
        <sz val="11"/>
        <color theme="1"/>
        <rFont val="Arial"/>
        <family val="2"/>
      </rPr>
      <t xml:space="preserve">
The </t>
    </r>
    <r>
      <rPr>
        <b/>
        <i/>
        <sz val="11"/>
        <color theme="1"/>
        <rFont val="Arial"/>
        <family val="2"/>
      </rPr>
      <t xml:space="preserve">Calculations Tab (Tab #4) </t>
    </r>
    <r>
      <rPr>
        <sz val="11"/>
        <color theme="1"/>
        <rFont val="Arial"/>
        <family val="2"/>
      </rPr>
      <t>uses these inputs to calculate the costs. This tab combines the values and costs from each step (Collection, Processing, Hosting, Review &amp; Production) and performs the calculations to arrive at estimated total costs. The Calculations include the ability to input estimated overall review cost savings from a TAR/CAL review process. A detailed, separate calculation worksheet (under development) will be cadded with the option to populate the savings estimate from that worksheet.</t>
    </r>
  </si>
  <si>
    <t>NOTE: This calculator is designed for a standard ESI project and does not account for the use of TAR/CAL analytics. A complete TAR/CAL calculator is in development and the GW New Framework team hopes to release in the near future.</t>
  </si>
  <si>
    <t>Developed under the George Washington Law School James F. Humphreys Complex Center and is freely available to the public. 
The Center acknowledges Insight Optix for its original thinking that inspired the New Framework and its critical logistical support. </t>
  </si>
  <si>
    <t>Discovery Proportionality Model
Judicial Dashboard</t>
  </si>
  <si>
    <t>TOTAL COLLECTED (GB)</t>
  </si>
  <si>
    <t>TOTAL PRODUCED (GB)</t>
  </si>
  <si>
    <t>DATA SOURCE &amp; STAGE TOTAL</t>
  </si>
  <si>
    <t>Date:</t>
  </si>
  <si>
    <t>[enter date here]</t>
  </si>
  <si>
    <t>Case Name:</t>
  </si>
  <si>
    <t>[enter case name here]</t>
  </si>
  <si>
    <t>Report Type:</t>
  </si>
  <si>
    <t>Discovery Proportionality Model Cost Prediction</t>
  </si>
  <si>
    <t>* this is a sum of each stage and related data source as calculated by the standard review protocols</t>
  </si>
  <si>
    <t>COLLECTION</t>
  </si>
  <si>
    <t>PRE-PROCESSING</t>
  </si>
  <si>
    <t>PROCESSING</t>
  </si>
  <si>
    <t>HOSTING</t>
  </si>
  <si>
    <t>PER SOURCE BREAKDOWN</t>
  </si>
  <si>
    <t>EMAIL</t>
  </si>
  <si>
    <t>FILE SHARE</t>
  </si>
  <si>
    <t>SOCIAL MEDIA/WEBSITE</t>
  </si>
  <si>
    <t>COMPUTER/LAPTOP</t>
  </si>
  <si>
    <t>MOBILE DEVICE</t>
  </si>
  <si>
    <t>OTHER DATA SOURCES</t>
  </si>
  <si>
    <t>REVIEW</t>
  </si>
  <si>
    <t>PRODUCTION</t>
  </si>
  <si>
    <t>CASE MANAGEMENT</t>
  </si>
  <si>
    <t xml:space="preserve">Discovery Proportionality Model
Judicial Detail View </t>
  </si>
  <si>
    <t>STAGE</t>
  </si>
  <si>
    <r>
      <t xml:space="preserve">File Share
</t>
    </r>
    <r>
      <rPr>
        <sz val="9"/>
        <color theme="0"/>
        <rFont val="Arial"/>
        <family val="2"/>
      </rPr>
      <t>(4.5GB)</t>
    </r>
  </si>
  <si>
    <r>
      <t xml:space="preserve">Social Media/ Website 
</t>
    </r>
    <r>
      <rPr>
        <sz val="9"/>
        <color theme="0"/>
        <rFont val="Arial"/>
        <family val="2"/>
      </rPr>
      <t>(0.25 GB)</t>
    </r>
  </si>
  <si>
    <r>
      <t xml:space="preserve">Computer/ Laptop
</t>
    </r>
    <r>
      <rPr>
        <sz val="9"/>
        <color theme="0"/>
        <rFont val="Arial"/>
        <family val="2"/>
      </rPr>
      <t>(30 GB)</t>
    </r>
  </si>
  <si>
    <r>
      <t xml:space="preserve">Mobile Device
</t>
    </r>
    <r>
      <rPr>
        <sz val="9"/>
        <color theme="0"/>
        <rFont val="Arial"/>
        <family val="2"/>
      </rPr>
      <t>(8 GB)</t>
    </r>
  </si>
  <si>
    <t>STAGE TOTAL</t>
  </si>
  <si>
    <t>GB Collected</t>
  </si>
  <si>
    <t>GB Produced</t>
  </si>
  <si>
    <t>Collection</t>
  </si>
  <si>
    <t>Pre-Processing</t>
  </si>
  <si>
    <t>Processing</t>
  </si>
  <si>
    <t>Hosting</t>
  </si>
  <si>
    <t>Review</t>
  </si>
  <si>
    <t>Production</t>
  </si>
  <si>
    <t>Management/Support</t>
  </si>
  <si>
    <t xml:space="preserve">DATA SOURCE TOTAL:  </t>
  </si>
  <si>
    <t>Discovery Proportionality Model
Attorney Dashboard</t>
  </si>
  <si>
    <t>Hosted email</t>
  </si>
  <si>
    <t>File Share</t>
  </si>
  <si>
    <t>Social Media/ Website</t>
  </si>
  <si>
    <t>Computer/ Laptop</t>
  </si>
  <si>
    <t>Mobile Device</t>
  </si>
  <si>
    <t>Subtotal: Collection per custodian</t>
  </si>
  <si>
    <t>Subtotal: Collection per data source/device</t>
  </si>
  <si>
    <t>Subtotal: Collection hourly rate</t>
  </si>
  <si>
    <t>Subtotal: Forensic hourly rate</t>
  </si>
  <si>
    <t xml:space="preserve">SUBTOTAL COLLECTION </t>
  </si>
  <si>
    <t>SUBTOTAL ESTIMATED GB</t>
  </si>
  <si>
    <t xml:space="preserve">SUBTOTAL PRE-PROCESSING </t>
  </si>
  <si>
    <t>Subtotal: Ingestion total fee</t>
  </si>
  <si>
    <t>Subtotal: Analytics fee</t>
  </si>
  <si>
    <t>Subtotal: Processing fee</t>
  </si>
  <si>
    <t xml:space="preserve">SUBTOTAL PROCESSING </t>
  </si>
  <si>
    <t>Subtotal: Hosting GB fee</t>
  </si>
  <si>
    <t>Subtotal: User licensing</t>
  </si>
  <si>
    <t xml:space="preserve">SUBTOTAL HOSTING </t>
  </si>
  <si>
    <t>Subtotal: 1st Pass review fee</t>
  </si>
  <si>
    <t xml:space="preserve">Subtotal: 2nd Pass review fee </t>
  </si>
  <si>
    <t xml:space="preserve">Subtotal: Privilege review fee </t>
  </si>
  <si>
    <t>Subtotal: Attorney Redaction fee</t>
  </si>
  <si>
    <t>SUBTOTAL REVIEW</t>
  </si>
  <si>
    <t>Subtotal: Production per/GB fee</t>
  </si>
  <si>
    <t>Subtotal: Production hourly rate</t>
  </si>
  <si>
    <t>SUBTOTAL PRODUCTION COST</t>
  </si>
  <si>
    <t>Subtotal: Tech support</t>
  </si>
  <si>
    <t>Subtotal: Project Management support</t>
  </si>
  <si>
    <t>Subtotal: Outside Counsel</t>
  </si>
  <si>
    <t>Subtotal: Supervisor/Manager fee</t>
  </si>
  <si>
    <t>SUBTOTAL MANAGEMENT/ADMIN</t>
  </si>
  <si>
    <t xml:space="preserve">TOTAL:  </t>
  </si>
  <si>
    <t>Inventory of Custodians &amp; ESI Repositories
By Data Source Type</t>
  </si>
  <si>
    <t>Hosted Email</t>
  </si>
  <si>
    <t>Social Media</t>
  </si>
  <si>
    <t>Computers/laptop</t>
  </si>
  <si>
    <t>Other Data Types</t>
  </si>
  <si>
    <t>Custodian Title/Type</t>
  </si>
  <si>
    <t>Department/Group</t>
  </si>
  <si>
    <t>Custodians</t>
  </si>
  <si>
    <t xml:space="preserve"> GBs per</t>
  </si>
  <si>
    <t>GBs - total</t>
  </si>
  <si>
    <t>Total GBs</t>
  </si>
  <si>
    <t>TOTAL GB</t>
  </si>
  <si>
    <t>TOTAL DATA REPOSITORIES</t>
  </si>
  <si>
    <t>Discovery Proportionality Model
Cost Estimates</t>
  </si>
  <si>
    <t>Stage</t>
  </si>
  <si>
    <t>Task</t>
  </si>
  <si>
    <t>Cost</t>
  </si>
  <si>
    <t>Definition</t>
  </si>
  <si>
    <t>Per custodian collection fee</t>
  </si>
  <si>
    <t>Data collection charged per custodian.</t>
  </si>
  <si>
    <t>Per device collection fee</t>
  </si>
  <si>
    <t>Email: $ 750
File Share: $1150
Social Media: $500
Mobile: $750
Cmptr/Laptop: $600</t>
  </si>
  <si>
    <t>Data collection charged per device.</t>
  </si>
  <si>
    <t>Collection / hourly rate</t>
  </si>
  <si>
    <t>Data collection charged per hour.</t>
  </si>
  <si>
    <t>Pre-processing culling / hourly rate</t>
  </si>
  <si>
    <t xml:space="preserve">Technology, services often by forensic and consulting experts to perform various types of filtering and culling operating technologies and tools as part of the collection process. </t>
  </si>
  <si>
    <t>Ingestion fee/per GB</t>
  </si>
  <si>
    <t xml:space="preserve">Sometimes called the "GB In" rate.  Typically refers to a per GB rate for ingestion of larger data sets for "pre-processing" filtering and culling by, for example, custodian, source, date, and filetype.  Some keyword searching is available pre-processing. </t>
  </si>
  <si>
    <t>Processing (OUT) / hourly rate per GB</t>
  </si>
  <si>
    <t>Sometimes called the "GB out" rate.  Typically refers to a per GB rate for the transfer or "promotion" of culled and filtered data sets for more advanced analytics, further culling, review, and production.</t>
  </si>
  <si>
    <t>Analytics / per GB</t>
  </si>
  <si>
    <t>Per GB rate for some advanced analytics technologies.  This rate is variable and often decreases over time with respect to a given analytics technology solution.</t>
  </si>
  <si>
    <t>Hosting cost per GB/month</t>
  </si>
  <si>
    <t>Per GB fee charged to store processed data in database that often include with advanced analytics, review and production capabilities.</t>
  </si>
  <si>
    <t>User fees (licenses per month)</t>
  </si>
  <si>
    <t>License fee often a monthly fee charged for each person (legal or technology expert) granting access to the processed data with varying "permissions" in the database.</t>
  </si>
  <si>
    <t>1st Pass Attorney review / hourly rate (Associate or Managed review)</t>
  </si>
  <si>
    <t>Hourly fee charged for first pass document reviewers often performed by contract attorneys.</t>
  </si>
  <si>
    <t>2nd Pass Senior Attorney review / hourly rate</t>
  </si>
  <si>
    <t xml:space="preserve">Hourly fee charged by second pass reviewers often law firm attorneys responsible for final coding decisions, for example, responsiveness, privilege, confidentiality and production decisions. </t>
  </si>
  <si>
    <t>Outside Counsel  / hourly rate</t>
  </si>
  <si>
    <t>Hourly fee charged for outside counsel attorneys</t>
  </si>
  <si>
    <t>Privilege Attorney review / hourly rate</t>
  </si>
  <si>
    <t>Hourly fee charged by second pass reviewers often law firm attorneys responsible for final coding decisions, for example, responsiveness, privilege, confidentiality and production decisions.</t>
  </si>
  <si>
    <t>Production per GB rate</t>
  </si>
  <si>
    <t>Per GB fee charged for operating technology that identifies identifies and formats documents directed by counsel for production.</t>
  </si>
  <si>
    <t>Production / hourly rate</t>
  </si>
  <si>
    <t>Hourly fee charged for operating technology that identifies identifies and formats documents directed by counsel for production.</t>
  </si>
  <si>
    <t>Analytics</t>
  </si>
  <si>
    <t>Cost for Analytics setup / hourly rate</t>
  </si>
  <si>
    <t>One-time fee for setup of advanced analytics tools that may not be included with other technologies or platforms, for example, machine translation, advanced audio transcription, other advanced analytics tools.</t>
  </si>
  <si>
    <t>Case Management/Admin</t>
  </si>
  <si>
    <t>Tech Support / hourly rate</t>
  </si>
  <si>
    <t>Hourly fee charged for managing the database and performing certain technology related services like keyword searches and analytics commands, as well as production.</t>
  </si>
  <si>
    <t>Project Management / hourly rate</t>
  </si>
  <si>
    <t>Hourly fee charged for managing the team of document reviewers and technology experts.</t>
  </si>
  <si>
    <t>Forensics cost / hourly rate</t>
  </si>
  <si>
    <t>Hourly fee charged for forensic experts used in the collection of data.</t>
  </si>
  <si>
    <t xml:space="preserve">**Cost values vary depending on multiple factors including complexity of the service and the demands of the case like time sensitivity, risk exposure, experience-level and geographic location of firm and contract resources (e.g. document reviewers), robustness and sophistication of the tools, underlying cost to provider like software licenses, "user seats," and hardware, data storage, and computing/processing costs.  </t>
  </si>
  <si>
    <t>Discovery Proportionality Model
 Assumptions</t>
  </si>
  <si>
    <t>Task/Assumption</t>
  </si>
  <si>
    <t xml:space="preserve">Hosted email </t>
  </si>
  <si>
    <t>GB Estimation</t>
  </si>
  <si>
    <t xml:space="preserve">Average GB/custodian </t>
  </si>
  <si>
    <t>Average GB of data per custodian prior to collection, culling or expansion, broken down by common data sources.  Highly variable for each data set depending on multiple factors including: custodian factors (e.g. the relevant time period and how much data that custodian generates/receives); data factors (e.g. data sources - servers, mobile devices, Cloud), and data filetypes - images, text, audio, video, database).</t>
  </si>
  <si>
    <t>Pre-processing culling: reduction rate</t>
  </si>
  <si>
    <t xml:space="preserve">Culling and filtering using tools available prior to collection and in forensic collection tools prior to ingestion into eDiscovery tools. Highly variable for each data set depending on multiple factors including the capabilities of the collection technology deployed by the litigant or their technology resource (e.g. whether the technology allows date, custodian, filetype filtering, keyword searching, de-duping and deNIST'ing).  </t>
  </si>
  <si>
    <t>Pre-processing culling: estimated hours</t>
  </si>
  <si>
    <t>Hours spent by collection person in the culling, filtering and collection process.  The number of hours a collection or forensics expert will spend also varies depending on such factors as the technology deployed and the work the expert is asked to perform - collection only or collection and filtering and culling.</t>
  </si>
  <si>
    <t>Data Expansion Rate (unzip; PST) %</t>
  </si>
  <si>
    <t xml:space="preserve">Expansion of data volume during processing. Highly variable for each data set depending on multiple factors such as the compression of the data in its native environment (emails stored in PST files "expand" and can double in volume.  Many chat technologies include links to data stored outside the chat message platform, and collecting the actual "attachments" can mean a much larger collection than the chat messages alone. </t>
  </si>
  <si>
    <t>Culling: Reduction rate for deNist, deDupe  (%)</t>
  </si>
  <si>
    <t>Culling techniques like deduping (identifying exact duplicate files using HASH or other forensic techniques and saving only one copy while maintainging metadata of muliple copies) and DeNIST (removing files that are contained in a list created by the National Institute of Science and Technology, that are not user created files and do not have evidentiary value).  Highly variable for each data set depending on multiple factors including the the level of duplication (e.g. duplicate emails and attachments sent to mulptiple recipients) and the number of system and non-user created data in a data source like a laptop hard drive compared to an email store.  Also dependant on technology settings like which parts of an email or file are "hash'ed."</t>
  </si>
  <si>
    <t>Filtering: Reduction rate for keyword, date, etc. filtering %</t>
  </si>
  <si>
    <t>Culling and filtering using tools that typically require a combination of case knowledge, legal judgement, and technological expertise to eliminate data that is not relevant to the matter.  Their use in each case is highly variable for each data set depending on multiple factors including the level of cooperation of counsel, the aggressiveness of the culling strategy, and the robustness of the search and indexing tools (e.g. types of available searches-Boolean, proximity, nested).</t>
  </si>
  <si>
    <t>Analytics reduction for threading, domain analysis, etc.</t>
  </si>
  <si>
    <t xml:space="preserve">Analytics refers to a wide range of advanced technologies that are used to either cull or organize data, or to accelerate review processes or sub-processes.  Their use in each case is highly variable for each data set depending on multiple factors including the legal strategy and judgment and the circumstances of the case.  Analytics tools for culling overlap with keyword searching tools described above.  For example, concept searching and clustering can be used to cull data deemed immaterial to the matter.  Analytics tools that accelerate review like near duplicate identification as well as conspet clustering may allow data sets to be organized so that human reviewers review documents that are grouped together because they are near duplicates or relate to the same topic.  Other common analytics tools include email threading that can be seen as both culling and reordering technology because "threading" orders emails into thread groups allowing reviewers to review only the email that best captures the email with replies and forward's effectively culls redundant emails. Yet other analytics tools include concept clusters, communication analysis, foreign language identification, machine translation, and automated redaction tools.  </t>
  </si>
  <si>
    <t>GB : document ratio</t>
  </si>
  <si>
    <t xml:space="preserve">The ratio of the number of GB (a typical data volume measurement) to the number of "documents" or files. The ratio in each data set is highly variable depending on multiple factors, for example, image, audio and video files are typically more voluminous (often MB's) whereas text-based files like emails and message files are typically smaller (often KB's). </t>
  </si>
  <si>
    <t>1st Pass Atty review rate (docs/hour)</t>
  </si>
  <si>
    <t>The number of documents that a first pass reviewer reviews in an hour.  This estimate is highly variable based on numerous factors such as the number of coding decisions the reviewers code, the complexity of the case, the number of days of review (review rates are slower at the start) and the size of the documents (large spreadsheets often take longer to review).  This number is typically revised as the review progresses as reviewers become familiar with the types of documents and the review instructions by counsel.</t>
  </si>
  <si>
    <t>1st Pass % Responsive rate (from total)</t>
  </si>
  <si>
    <t xml:space="preserve">The number of documents that reviewers tag as "Responsive" often indicating an initial decision that the document is potentially responsive to a document request and typically queued for additional or 2nd Pass review often by a law firm attorney to confirm responsiveness and privilege coding.  The rate is highly variable for each data set depending on multiple factors, including the degree to which data was targeted during collection, the success of culling strategies and the judgement of counsel. </t>
  </si>
  <si>
    <t>2nd Pass Attorney review rate (docs/hour)</t>
  </si>
  <si>
    <t>The number of documents that a second pass reviewer reviews in an hour.  This estimate is highly variable based on numerous factors such as the the number of coding decisions the reviewers qc or code, number of days of review (review rates are slower at the start) and the size of the documents (large spreadsheets often take longer to review), the complexity of the case and judgment of counsel . This number is typically revised as the review progresses.</t>
  </si>
  <si>
    <t xml:space="preserve">2nd Pass % Responsive rate </t>
  </si>
  <si>
    <t xml:space="preserve">The number of documents that 2nd pass reviewers tag as "Responsive" often indicating the document is responsive and may be produced if non-privileged.  The rate is highly variable for each data set depending on multiple factors, including the degree to which data was targeted during collection, the success of culling strategies and the judgement of counsel of counsel. </t>
  </si>
  <si>
    <t>Privilege % rate from 2nd pass</t>
  </si>
  <si>
    <t>The number of documents that second pass reviewers tag as "Privileged."  The rate is highly variable for each data set depending on multiple factors including whether custodians are attorneys or communicate with attorneys, and whether the subject matter of the case involves communications with counsel.</t>
  </si>
  <si>
    <t>Privilege Attorney review rate (docs/hour)</t>
  </si>
  <si>
    <t xml:space="preserve">The number of documents that a privilege reviewer reviews in an hour.  This estimate is highly variable based on numerous factors such as the complexity of the case and the privilege determinations and judgment of counsel. For example, data may vary in the amount of communications with counsel as well as entities that work for counsel, and may vary in terms of communications that are shared with entities that "break" the privilege. </t>
  </si>
  <si>
    <t>Redaction rate</t>
  </si>
  <si>
    <t>The number of documents in a data set that require redaction.  Redaction can be a time-consuming sub-process that significantly increases the cost of a review.  The impact on cost can vary considerably based on jurisdictional rules as what must be redacted like data protected by privacy laws, what may be redacted like business confidential data, and what must be redacted like data asserted as privileged.</t>
  </si>
  <si>
    <t>Case Management</t>
  </si>
  <si>
    <t xml:space="preserve">Attorney redaction rate (docs/hour) </t>
  </si>
  <si>
    <t>The number of documents that a reviewer can redact in an hour.  This estimate is highly variable based on numerous factors such as the confidentiality order requirements for redactions, availability of automated or robust redaction tools and functions, and the number and type of redactions.</t>
  </si>
  <si>
    <t xml:space="preserve">Supervisor/Mgr fee per % of review </t>
  </si>
  <si>
    <t xml:space="preserve">The additional cost by percentage of the all first and second pass review hours. Project oversight can be contract attorney team leads and technology PM's, as well as law firm attorney and technology personnel oversight.  On large matters first pass review often accounts for the largest amount of costs and the output of first pass review directly impacts the amount of oversight and management both by attorneys and technology professionals.  This number can vary widely based on the nature and complexity of the case (the number of parties and the volume of documents) and the review (the volume of the review population and the complexity of the issues).    </t>
  </si>
  <si>
    <t>Discovery Proportionality Model
Cost Prediction Calculator</t>
  </si>
  <si>
    <t>Color coding</t>
  </si>
  <si>
    <r>
      <t>Collection costs are typically based on a single collection method, either by custodian, by device or hourly. In the calculations below,</t>
    </r>
    <r>
      <rPr>
        <b/>
        <sz val="10"/>
        <color rgb="FFFF0000"/>
        <rFont val="Arial"/>
        <family val="2"/>
      </rPr>
      <t xml:space="preserve"> add values for only the method being utilized for your project.</t>
    </r>
  </si>
  <si>
    <t>Data Sources</t>
  </si>
  <si>
    <t>User Aids</t>
  </si>
  <si>
    <t>Yellow - Unit input</t>
  </si>
  <si>
    <t>Orange - Assumption input</t>
  </si>
  <si>
    <t>Green - Cost input</t>
  </si>
  <si>
    <t>Other Data Sources</t>
  </si>
  <si>
    <t>Combined Data Sources</t>
  </si>
  <si>
    <t>ID</t>
  </si>
  <si>
    <t>Calculation</t>
  </si>
  <si>
    <t>Blue - Calculation</t>
  </si>
  <si>
    <t xml:space="preserve"># custodians </t>
  </si>
  <si>
    <t>Enter: If being charged by custodian, enter the number of custodians to be collected</t>
  </si>
  <si>
    <t>[a1]</t>
  </si>
  <si>
    <t>Collection: per custodian fee</t>
  </si>
  <si>
    <t>Enter Cost: per custodian collection fee</t>
  </si>
  <si>
    <t>[a2]</t>
  </si>
  <si>
    <t>Subtotal Collection per custodian</t>
  </si>
  <si>
    <t>Calculation: Subtotal of collection costs per custodian</t>
  </si>
  <si>
    <t>[A]</t>
  </si>
  <si>
    <t>[a1] x [a2]</t>
  </si>
  <si>
    <t>Number of data sources (device/server)</t>
  </si>
  <si>
    <t>Enter: If being charged a per data source/device fee, enter number of devices to be collected</t>
  </si>
  <si>
    <t>[b1]</t>
  </si>
  <si>
    <t>Collection: per device/repository fee</t>
  </si>
  <si>
    <t>Enter Cost: per data source/device fee</t>
  </si>
  <si>
    <t>[b2]</t>
  </si>
  <si>
    <t>Subtotal Collection cost per data source/device/server</t>
  </si>
  <si>
    <t>Calculation: Subtotal of collection costs per device</t>
  </si>
  <si>
    <t>[B]</t>
  </si>
  <si>
    <t>[b1] x [b2]</t>
  </si>
  <si>
    <t>Collection: estimated hours</t>
  </si>
  <si>
    <t>Enter: If being charged an hourly rate, enter estimated number of hours</t>
  </si>
  <si>
    <t>[c1]</t>
  </si>
  <si>
    <t>Collection: hourly rate</t>
  </si>
  <si>
    <t>Enter Cost: hourly rate for collection</t>
  </si>
  <si>
    <t>[c2]</t>
  </si>
  <si>
    <t>Subtotal Collection hourly rate</t>
  </si>
  <si>
    <t xml:space="preserve">Calculation: Subtotal of hourly collection costs </t>
  </si>
  <si>
    <t>[C]</t>
  </si>
  <si>
    <t>[c1] x [c2]</t>
  </si>
  <si>
    <t>Forensics: estimated hours</t>
  </si>
  <si>
    <t>Enter: If being charged a forensics fee, enter estimated number of hours</t>
  </si>
  <si>
    <t>[d1]</t>
  </si>
  <si>
    <t>Forensics: hourly rate</t>
  </si>
  <si>
    <t>Enter Cost: hourly rate for Forensics expertise</t>
  </si>
  <si>
    <t>[d2]</t>
  </si>
  <si>
    <t>Subtotal Forensic hourly rate</t>
  </si>
  <si>
    <t xml:space="preserve">Calculation: Subtotal of forensic collection costs </t>
  </si>
  <si>
    <t>[D]</t>
  </si>
  <si>
    <t>[d1] x [d2]</t>
  </si>
  <si>
    <t>Cost for collection</t>
  </si>
  <si>
    <t>[E]</t>
  </si>
  <si>
    <t>[A] + [B] + [C] + [D]</t>
  </si>
  <si>
    <t>GB 
 ESTIMATION</t>
  </si>
  <si>
    <t xml:space="preserve">Estimated RAW GB </t>
  </si>
  <si>
    <t>Calculation: total GB estimated from collection (from Tab 1: Data Source Estimates)</t>
  </si>
  <si>
    <t>[F]</t>
  </si>
  <si>
    <t>[TAB 1. TOTAL]</t>
  </si>
  <si>
    <t xml:space="preserve"># Noncustodial data sources </t>
  </si>
  <si>
    <t>Enter: # of noncustodial data sources</t>
  </si>
  <si>
    <t>[g1]</t>
  </si>
  <si>
    <t>GB per noncustodial source</t>
  </si>
  <si>
    <t>Enter: GB per noncustodial data source</t>
  </si>
  <si>
    <t>[g2]</t>
  </si>
  <si>
    <t>Subtotal noncustodial data sources</t>
  </si>
  <si>
    <t>Calculation: Subtotal of line 19 * line 20</t>
  </si>
  <si>
    <t>[G]</t>
  </si>
  <si>
    <t>[g1] x [g2]</t>
  </si>
  <si>
    <t>Calculation: GB to be delivered for processing</t>
  </si>
  <si>
    <t>[H]</t>
  </si>
  <si>
    <t>[F] + [G]</t>
  </si>
  <si>
    <t>Data may go through a pre-processing phase during collection. Use this section to calculate potential volume reductions from preprocessing.</t>
  </si>
  <si>
    <t>TOTAL ESTIMATED GB FOR PRE-PROCESSING</t>
  </si>
  <si>
    <t>Enter: Total GB for processing (Line 22)</t>
  </si>
  <si>
    <t>Enter Assumption: Pre-processing culling reduction rate</t>
  </si>
  <si>
    <t>[j1]</t>
  </si>
  <si>
    <t xml:space="preserve">Estimated GB after culling/filtering </t>
  </si>
  <si>
    <t>Calculation: GB after culling</t>
  </si>
  <si>
    <t>[J]</t>
  </si>
  <si>
    <t>( 1 - [j1] ) x [H]</t>
  </si>
  <si>
    <t>Enter Assumption: Pre-processing culling hours</t>
  </si>
  <si>
    <t>[k1]</t>
  </si>
  <si>
    <t xml:space="preserve">Pre-processing culling: hourly rate </t>
  </si>
  <si>
    <t xml:space="preserve">Enter Cost: Pre-processing culling hourly rate </t>
  </si>
  <si>
    <t>[k2]</t>
  </si>
  <si>
    <t>Calculation: Cost for pre-processing</t>
  </si>
  <si>
    <t>[K]</t>
  </si>
  <si>
    <t>[k1] x [k2]</t>
  </si>
  <si>
    <t xml:space="preserve"> PROCESSSING</t>
  </si>
  <si>
    <t>Processing costs are based on estimated GB collected or output from Pre-processing.</t>
  </si>
  <si>
    <t xml:space="preserve">Data Expansion </t>
  </si>
  <si>
    <t xml:space="preserve">Enter Assumption: Data expansion rate for PST, zip, etc. files </t>
  </si>
  <si>
    <t>[l1]</t>
  </si>
  <si>
    <t>GB after expansion</t>
  </si>
  <si>
    <t>Calculation: GB after data expansion</t>
  </si>
  <si>
    <t>[L]</t>
  </si>
  <si>
    <t>[J] x [l1]</t>
  </si>
  <si>
    <t>Enter Cost: Ingestion fee/GB</t>
  </si>
  <si>
    <t>[m1]</t>
  </si>
  <si>
    <t>Calculation: Cost for ingestion based on estimated GB and Ingestion fee (line 34 * line 35)</t>
  </si>
  <si>
    <t>[M]</t>
  </si>
  <si>
    <t>[L] x [m1]</t>
  </si>
  <si>
    <t xml:space="preserve">Culling: Standard (dedupe, deNist) </t>
  </si>
  <si>
    <t>Enter Assumption: Culling reduction rate for deNist, deDupe</t>
  </si>
  <si>
    <t>[n1]</t>
  </si>
  <si>
    <t>GB after Culling</t>
  </si>
  <si>
    <t>Calculation: GB after Culling</t>
  </si>
  <si>
    <t>[N]</t>
  </si>
  <si>
    <t>( 1 - [n1] ) x [L]</t>
  </si>
  <si>
    <t>Filtering: Keyword, file type, date range, etc.</t>
  </si>
  <si>
    <t>Enter Assumption: Filtering reduction rate for keyword, date, etc. filtering</t>
  </si>
  <si>
    <t>[o1]</t>
  </si>
  <si>
    <t>GB after filtering</t>
  </si>
  <si>
    <t>Calculation: GB after Filtering</t>
  </si>
  <si>
    <t>[O]</t>
  </si>
  <si>
    <t>( 1 - [o1] ) x [N]</t>
  </si>
  <si>
    <t>Analytics  reduction</t>
  </si>
  <si>
    <t>Enter Assumption: Analytics reduction for threading, domain analysis, etc.</t>
  </si>
  <si>
    <t>[p1]</t>
  </si>
  <si>
    <t>GB after Analytics</t>
  </si>
  <si>
    <t>Calculation: GB after Analytics</t>
  </si>
  <si>
    <t>[P]</t>
  </si>
  <si>
    <t>( 1 - [p1] ) x [O]</t>
  </si>
  <si>
    <t>Analytics per GB</t>
  </si>
  <si>
    <t>Enter Cost: Cost for analytics: threading, domain analysis, etc.</t>
  </si>
  <si>
    <t>[q1]</t>
  </si>
  <si>
    <t>Calculation: Analytics cost</t>
  </si>
  <si>
    <t>[Q]</t>
  </si>
  <si>
    <t>[P] x [O]</t>
  </si>
  <si>
    <t>Total GB output for review after filters</t>
  </si>
  <si>
    <t>Calculation: GB total after Culling, Filtering, Analytics</t>
  </si>
  <si>
    <t>Processing rate per GB</t>
  </si>
  <si>
    <t>Enter Cost:  Processing fee/GB</t>
  </si>
  <si>
    <t>[r1]</t>
  </si>
  <si>
    <t xml:space="preserve">Calculation: Cost for Processing </t>
  </si>
  <si>
    <t>[R]</t>
  </si>
  <si>
    <t>[P] x [r1]</t>
  </si>
  <si>
    <t>Calculation: Cost for Ingestion, Processing &amp; Analytics</t>
  </si>
  <si>
    <t>[S]</t>
  </si>
  <si>
    <t>[N] + [P] + [R]</t>
  </si>
  <si>
    <t>Hosting costs include term of the project, volume of GB to be hosted, user or license fees and tech support.</t>
  </si>
  <si>
    <t>Hosting time frame (in months)</t>
  </si>
  <si>
    <t>Enter: Number of months the project is expected to require hosting</t>
  </si>
  <si>
    <t>[t1]</t>
  </si>
  <si>
    <t>GB to be hosted</t>
  </si>
  <si>
    <t>Calculation: GB to be hosted (line 45)</t>
  </si>
  <si>
    <t>Hosting cost per GB</t>
  </si>
  <si>
    <t>Enter Cost: Monthly hosting fee based on GB</t>
  </si>
  <si>
    <t>[t2]</t>
  </si>
  <si>
    <t>Subtotal hosting GB fee</t>
  </si>
  <si>
    <t>Calculation: Cost of hosting for length of engagement</t>
  </si>
  <si>
    <t>[T]</t>
  </si>
  <si>
    <t>[t1] x [P] x [t2]</t>
  </si>
  <si>
    <t># of users</t>
  </si>
  <si>
    <t>Enter: Number of users requiring access/license to review platform</t>
  </si>
  <si>
    <t>[u1]</t>
  </si>
  <si>
    <t xml:space="preserve">User fees </t>
  </si>
  <si>
    <t>Enter Cost: User fee for licenses/month</t>
  </si>
  <si>
    <t>[u2]</t>
  </si>
  <si>
    <t>Subtotal user fees</t>
  </si>
  <si>
    <t>Calculation: Subtotal of user licensing fees</t>
  </si>
  <si>
    <t>[U]</t>
  </si>
  <si>
    <t>[u1] x [u2]</t>
  </si>
  <si>
    <t>Average per data source</t>
  </si>
  <si>
    <t>Calculation: User fees divided across all data source types</t>
  </si>
  <si>
    <t>Calculation: Cost for Hosting</t>
  </si>
  <si>
    <t>[V]</t>
  </si>
  <si>
    <t>[T] + [U]</t>
  </si>
  <si>
    <t>DOCUMENT
 ESTIMATE</t>
  </si>
  <si>
    <t>Document estimation calculates the estimated number of documents resulting from Processing, culling and filtering. These documents are submitted to TAR/CAL or to 1st Pass review.</t>
  </si>
  <si>
    <t>Enter Assumption: GB : Document ratio to determine document count for review</t>
  </si>
  <si>
    <t>[W]</t>
  </si>
  <si>
    <t>GB from Processing</t>
  </si>
  <si>
    <t>Calculation: GB from Processing (line 45)</t>
  </si>
  <si>
    <t xml:space="preserve">[P] </t>
  </si>
  <si>
    <t>Document count for review</t>
  </si>
  <si>
    <t>Calculation: GB:Document ratio * GB to be hosted (line 62 * line 63)</t>
  </si>
  <si>
    <t>[X]</t>
  </si>
  <si>
    <t>[W] x [P]</t>
  </si>
  <si>
    <t>Review may include 1st Pass, 2nd Pass, Privilege review and analytics.</t>
  </si>
  <si>
    <t>1st Pass Attorney review rate(docs/hour)</t>
  </si>
  <si>
    <t>Enter Assumption: Attorney document review rate for Associate or Managed Review Attorney</t>
  </si>
  <si>
    <t>[x1]</t>
  </si>
  <si>
    <t>1st Pass Attorney review / hourly rate (Managed review)</t>
  </si>
  <si>
    <t>Enter Cost: Hourly rate for Associate or Managed review attorney</t>
  </si>
  <si>
    <t>[x2]</t>
  </si>
  <si>
    <t>Subtotal 1st Pass review fee</t>
  </si>
  <si>
    <t>Calculation: Subtotal 1st Pass review</t>
  </si>
  <si>
    <t>[Y]</t>
  </si>
  <si>
    <t>([X] / [x1]) x [x2]</t>
  </si>
  <si>
    <t xml:space="preserve">1st Pass % Responsive rate </t>
  </si>
  <si>
    <t>Enter Assumption: Rate of responsiveness in 1st Pass (% of line 66)</t>
  </si>
  <si>
    <t>[x3]</t>
  </si>
  <si>
    <t xml:space="preserve">1st Pass document output </t>
  </si>
  <si>
    <t>Calculation: Volume of responsive documents resulting from 1st Pass and submitted to 2nd Pass</t>
  </si>
  <si>
    <t>[Z]</t>
  </si>
  <si>
    <t>[X] x [x3]</t>
  </si>
  <si>
    <t># of  documents reviewed in 2nd Pass</t>
  </si>
  <si>
    <t>Enter: Estimated NUMBER of 2nd Pass documents to be reviewed (This might be a mix of 1st Pass documents and QC review.)</t>
  </si>
  <si>
    <t>[z1]</t>
  </si>
  <si>
    <t>Enter Assumption: Attorney document review rate for Senior level Attorney</t>
  </si>
  <si>
    <t>[z2]</t>
  </si>
  <si>
    <t xml:space="preserve">2nd Pass Attorney review / hourly rate  </t>
  </si>
  <si>
    <t>Enter Cost: Hourly rate for Senior Attorney, may be blended rate.</t>
  </si>
  <si>
    <t>[z3]</t>
  </si>
  <si>
    <t xml:space="preserve">Subtotal 2nd Pass review fee </t>
  </si>
  <si>
    <t>Calculation: Subtotal 2nd Pass review</t>
  </si>
  <si>
    <t>[AA]</t>
  </si>
  <si>
    <t>([z1] / [z2]) * [z3]</t>
  </si>
  <si>
    <t>2nd Pass % responsive rate</t>
  </si>
  <si>
    <t>Enter Assumption: Rate of responsiveness in 2nd Pass (% of line 66)</t>
  </si>
  <si>
    <t>[aa1]</t>
  </si>
  <si>
    <t>2nd Pass document output (for Production)</t>
  </si>
  <si>
    <t>Calculation: Volume of responsive documents output from 2nd Pass to submit for Production</t>
  </si>
  <si>
    <t>[AB]</t>
  </si>
  <si>
    <t xml:space="preserve"> [aa1] * [z1]</t>
  </si>
  <si>
    <t>Privilege/Confidentiality/Privacy % rate from 2nd pass</t>
  </si>
  <si>
    <t>Enter Assumption: Rate of Privilege documents found in 2nd Pass</t>
  </si>
  <si>
    <t>[ab1]</t>
  </si>
  <si>
    <t>Privilege/Confidentiality/Privacy documents</t>
  </si>
  <si>
    <t>Calculation: Volume of privilege documents identified in 2nd Pass</t>
  </si>
  <si>
    <t>[AD]</t>
  </si>
  <si>
    <t>[AB] * [ab1}</t>
  </si>
  <si>
    <t>Privilege/Confidentiality/Privacy Attorney review rate (docs/hour)</t>
  </si>
  <si>
    <t>[ac1]</t>
  </si>
  <si>
    <t xml:space="preserve">Privilege/Confidentiality/Privacy Attorney review / hourly rate </t>
  </si>
  <si>
    <t>[ad1]</t>
  </si>
  <si>
    <t xml:space="preserve">Subtotal Privilege/Confidentiality/Privacy review fee </t>
  </si>
  <si>
    <t>Calculation: Subtotal Privilege Review</t>
  </si>
  <si>
    <t>[AE]</t>
  </si>
  <si>
    <t>([AD] / [ac1]) * [ad1]</t>
  </si>
  <si>
    <t>Enter Assumption: % of Privilege documents identified as requiring Redaction</t>
  </si>
  <si>
    <t>[ae1]</t>
  </si>
  <si>
    <t>Redaction documents</t>
  </si>
  <si>
    <t>Calculation: # of documents requiring redaction</t>
  </si>
  <si>
    <t>[AF]</t>
  </si>
  <si>
    <t>[AD] * [ae1]</t>
  </si>
  <si>
    <t>[af1]</t>
  </si>
  <si>
    <t xml:space="preserve">Attorney / hourly rate </t>
  </si>
  <si>
    <t>[ag1]</t>
  </si>
  <si>
    <t>Subtotal Attorney Redaction fee</t>
  </si>
  <si>
    <t>Calculation: Subtotal Redactions</t>
  </si>
  <si>
    <t>[AG]</t>
  </si>
  <si>
    <t>([AF] / [af1]) * [ag1]</t>
  </si>
  <si>
    <t>Calculation: Cost of Review</t>
  </si>
  <si>
    <t>[AH]</t>
  </si>
  <si>
    <t>[AG]+[AE]+[AA]+[Y]</t>
  </si>
  <si>
    <t>Production involves the physical production of responsive documents to opposing parties.</t>
  </si>
  <si>
    <t>Documents to be produced</t>
  </si>
  <si>
    <t>Calculation: Documents to be produced (line 80 - line 82 + line 87)</t>
  </si>
  <si>
    <t>[ah1]</t>
  </si>
  <si>
    <t>([AB] - [AD]) + [AF]</t>
  </si>
  <si>
    <t>GB to be produced</t>
  </si>
  <si>
    <t>Calculation: GB : document ratio (line 62)</t>
  </si>
  <si>
    <t>[AI]</t>
  </si>
  <si>
    <t>[ah1] / [W]</t>
  </si>
  <si>
    <t>Production cost per GB</t>
  </si>
  <si>
    <t>Enter Cost: Production fee per GB</t>
  </si>
  <si>
    <t>[ai1]</t>
  </si>
  <si>
    <t>Subtotal Production per/GB fee</t>
  </si>
  <si>
    <t>Calculation: Subtotal production fee (line 95 X line 94)</t>
  </si>
  <si>
    <t>[AJ]</t>
  </si>
  <si>
    <t>[AI] * [ai1]</t>
  </si>
  <si>
    <t xml:space="preserve">Production hours </t>
  </si>
  <si>
    <t>Enter: Estimated # hours for production</t>
  </si>
  <si>
    <t>[aj1]</t>
  </si>
  <si>
    <t xml:space="preserve">Production / hourly rate </t>
  </si>
  <si>
    <t>Enter Cost: Hourly rate for production</t>
  </si>
  <si>
    <t>[aj2]</t>
  </si>
  <si>
    <t>Subtotal Production hourly fee</t>
  </si>
  <si>
    <t>Calculation: Subtotal production hourly fee</t>
  </si>
  <si>
    <t>[AK]</t>
  </si>
  <si>
    <t>[aj1] * [aj2]</t>
  </si>
  <si>
    <t>Calculation: Cost of Production</t>
  </si>
  <si>
    <t>[AL]</t>
  </si>
  <si>
    <t>[AJ] + [AK]</t>
  </si>
  <si>
    <t>Case Management includes ALL vendor related hourly rate project support for all data sources.</t>
  </si>
  <si>
    <t>Tech Support estimated hours</t>
  </si>
  <si>
    <t>Enter: Estimated # hours for Technical Support</t>
  </si>
  <si>
    <t>[al1]</t>
  </si>
  <si>
    <t xml:space="preserve">Tech Support  / hourly rate </t>
  </si>
  <si>
    <t>Enter Cost: Hourly rate for Tech Support</t>
  </si>
  <si>
    <t>[al2]</t>
  </si>
  <si>
    <t>Subtotal Tech support</t>
  </si>
  <si>
    <t>Calculation: Subtotal for Tech support</t>
  </si>
  <si>
    <t>[AM]</t>
  </si>
  <si>
    <t>[al1] * [al2]</t>
  </si>
  <si>
    <t>Project Management estimated hours</t>
  </si>
  <si>
    <t>Enter: Estimated # of hours for Project Management Support</t>
  </si>
  <si>
    <t>[am1]</t>
  </si>
  <si>
    <t xml:space="preserve">Project Management / hourly rate </t>
  </si>
  <si>
    <t>Enter Cost: Hourly rate for Project Management Support</t>
  </si>
  <si>
    <t>[am2]</t>
  </si>
  <si>
    <t>Subtotal Project Management support</t>
  </si>
  <si>
    <t>Calculation: Subtotal for Project Management support</t>
  </si>
  <si>
    <t>[AN]</t>
  </si>
  <si>
    <t>[am1] * am2]</t>
  </si>
  <si>
    <t>Law Firm Attorneys estimated hours</t>
  </si>
  <si>
    <t>Enter: Estimated # of hours for Law Firm Attorneys</t>
  </si>
  <si>
    <t>[an1]</t>
  </si>
  <si>
    <t xml:space="preserve">Law Firm Attorneys  / hourly rate </t>
  </si>
  <si>
    <t xml:space="preserve">Enter Cost: Hourly rate for Law Firm Attorneys </t>
  </si>
  <si>
    <t>[an2]</t>
  </si>
  <si>
    <t>Subtotal Law Firm Attorneys</t>
  </si>
  <si>
    <t>Calculation: Subtotal for Law Firm Attorneys</t>
  </si>
  <si>
    <t>[AO]</t>
  </si>
  <si>
    <t>[an1] * [an2]</t>
  </si>
  <si>
    <t xml:space="preserve">Supervisor/Mgr. fee per % of review </t>
  </si>
  <si>
    <t>Enter Assumption: % of 1st Pass Review costs (line 69) for Supervisory/QC/Managers fee</t>
  </si>
  <si>
    <t>[ao1]</t>
  </si>
  <si>
    <t>Subtotal Supervisor/Manager fee</t>
  </si>
  <si>
    <t>Calculation: Supervisor/Manager fee</t>
  </si>
  <si>
    <t>[AP]</t>
  </si>
  <si>
    <t>[Y] * [ao1]</t>
  </si>
  <si>
    <t>SUBTOTAL CASE MANAGEMENT/SUPPORT</t>
  </si>
  <si>
    <t>Calculation: Cost of Management/Support</t>
  </si>
  <si>
    <t>[AQ]</t>
  </si>
  <si>
    <t>[AM] +[AN] + [AO] + [AP]</t>
  </si>
  <si>
    <t>Number of data source types</t>
  </si>
  <si>
    <t>Enter: number of different data source types.</t>
  </si>
  <si>
    <t>[ap1]</t>
  </si>
  <si>
    <t>Calculation: Estimated Case Management resources for entire project divided across data sources.</t>
  </si>
  <si>
    <t>[AQ] / [ap1]</t>
  </si>
  <si>
    <t xml:space="preserve">TOTAL PROJECT COSTS </t>
  </si>
  <si>
    <t>[E] +[K] + [S] + [V] +[AH] + [AL] + [AQ]</t>
  </si>
  <si>
    <r>
      <t>Copyright © 2022, Rabiej Litigation Law Center All Rights Reserved.  Developed under the Rabiej Litigation Law Center with the technical assistance of Optix Evidence</t>
    </r>
    <r>
      <rPr>
        <sz val="11"/>
        <color theme="1"/>
        <rFont val="Calibri"/>
        <family val="2"/>
      </rPr>
      <t>®</t>
    </r>
    <r>
      <rPr>
        <i/>
        <sz val="11"/>
        <color theme="1"/>
        <rFont val="Arial"/>
        <family val="2"/>
      </rPr>
      <t xml:space="preserve">.  It is freely available to the public and reprints are authorized, but only if attributed to the Rabiej Litigation Law Center.
</t>
    </r>
  </si>
  <si>
    <t xml:space="preserve">Copyright © 2022, Rabiej Litigation Law Center All Rights Reserved.  Developed under the Rabiej Litigation Law Center with the technical assistance of Optix Evidence®.  It is freely available to the public and reprints are authorized, but only if attributed to the Rabiej Litigation Law Center.
</t>
  </si>
  <si>
    <t>Copyright © 2022, Rabiej Litigation Law Center All Rights Reserved.  Developed under the Rabiej Litigation Law Center with the technical assistance of Optix Evidence®.  It is freely available to the public and reprints are authorized, but only if attributed to the Rabiej Litigation Law Center.</t>
  </si>
  <si>
    <t>Copyright © 2022, Rabiej Litigation Law Center All Rights Reserved.  Developed under the Rabiej Litigation Law Center with the technical assistance of Optix Evidence®.  It is freely available to the public and reprints are authorized, but only if attributed to the Rabiej Litigation Law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</si>
</sst>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0.0%"/>
    <numFmt numFmtId="168" formatCode="0.0"/>
  </numFmts>
  <fonts count="67"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0"/>
      <name val="Arial"/>
      <family val="2"/>
    </font>
    <font>
      <sz val="12"/>
      <color theme="0"/>
      <name val="Arial"/>
      <family val="2"/>
    </font>
    <font>
      <sz val="12"/>
      <color theme="1"/>
      <name val="Arial"/>
      <family val="2"/>
    </font>
    <font>
      <b/>
      <sz val="11"/>
      <color theme="1"/>
      <name val="Arial"/>
      <family val="2"/>
    </font>
    <font>
      <b/>
      <sz val="11"/>
      <name val="Arial"/>
      <family val="2"/>
    </font>
    <font>
      <b/>
      <sz val="10"/>
      <color theme="1"/>
      <name val="Arial"/>
      <family val="2"/>
    </font>
    <font>
      <b/>
      <sz val="10"/>
      <name val="Arial"/>
      <family val="2"/>
    </font>
    <font>
      <sz val="16"/>
      <color theme="1"/>
      <name val="Arial"/>
      <family val="2"/>
    </font>
    <font>
      <sz val="22"/>
      <color theme="1"/>
      <name val="Calibri"/>
      <family val="2"/>
      <scheme val="minor"/>
    </font>
    <font>
      <sz val="14"/>
      <color theme="1"/>
      <name val="Arial"/>
      <family val="2"/>
    </font>
    <font>
      <b/>
      <sz val="11"/>
      <color theme="0"/>
      <name val="Arial"/>
      <family val="2"/>
    </font>
    <font>
      <b/>
      <sz val="14"/>
      <color theme="0"/>
      <name val="Arial"/>
      <family val="2"/>
    </font>
    <font>
      <sz val="12"/>
      <color theme="1"/>
      <name val="Calibri Light"/>
      <family val="2"/>
      <scheme val="major"/>
    </font>
    <font>
      <sz val="11"/>
      <name val="Calibri"/>
      <family val="2"/>
      <scheme val="minor"/>
    </font>
    <font>
      <sz val="10"/>
      <color theme="1"/>
      <name val="Calibri"/>
      <family val="2"/>
      <scheme val="minor"/>
    </font>
    <font>
      <sz val="12"/>
      <name val="Arial"/>
      <family val="2"/>
    </font>
    <font>
      <b/>
      <sz val="12"/>
      <color theme="1"/>
      <name val="Arial"/>
      <family val="2"/>
    </font>
    <font>
      <b/>
      <i/>
      <u/>
      <sz val="11"/>
      <color rgb="FF0070C0"/>
      <name val="Arial"/>
      <family val="2"/>
    </font>
    <font>
      <b/>
      <i/>
      <sz val="11"/>
      <color rgb="FF0070C0"/>
      <name val="Arial"/>
      <family val="2"/>
    </font>
    <font>
      <b/>
      <sz val="11"/>
      <color rgb="FF0070C0"/>
      <name val="Arial"/>
      <family val="2"/>
    </font>
    <font>
      <sz val="11"/>
      <color rgb="FF0070C0"/>
      <name val="Arial"/>
      <family val="2"/>
    </font>
    <font>
      <b/>
      <i/>
      <sz val="11"/>
      <color theme="1"/>
      <name val="Arial"/>
      <family val="2"/>
    </font>
    <font>
      <b/>
      <sz val="10"/>
      <color rgb="FFFF0000"/>
      <name val="Arial"/>
      <family val="2"/>
    </font>
    <font>
      <b/>
      <sz val="11"/>
      <color theme="1"/>
      <name val="Calibri"/>
      <family val="2"/>
      <scheme val="minor"/>
    </font>
    <font>
      <sz val="11"/>
      <color theme="0"/>
      <name val="Calibri"/>
      <family val="2"/>
      <scheme val="minor"/>
    </font>
    <font>
      <b/>
      <i/>
      <sz val="12"/>
      <color rgb="FF002060"/>
      <name val="Calibri"/>
      <family val="2"/>
      <scheme val="minor"/>
    </font>
    <font>
      <b/>
      <sz val="12"/>
      <color theme="1"/>
      <name val="Calibri"/>
      <family val="2"/>
      <scheme val="minor"/>
    </font>
    <font>
      <b/>
      <sz val="28"/>
      <name val="Calibri"/>
      <family val="2"/>
      <scheme val="minor"/>
    </font>
    <font>
      <sz val="28"/>
      <name val="Calibri"/>
      <family val="2"/>
      <scheme val="minor"/>
    </font>
    <font>
      <b/>
      <sz val="12"/>
      <color rgb="FF002060"/>
      <name val="Calibri"/>
      <family val="2"/>
      <scheme val="minor"/>
    </font>
    <font>
      <sz val="12"/>
      <color rgb="FF002060"/>
      <name val="Calibri"/>
      <family val="2"/>
      <scheme val="minor"/>
    </font>
    <font>
      <b/>
      <i/>
      <sz val="12"/>
      <name val="Calibri"/>
      <family val="2"/>
      <scheme val="minor"/>
    </font>
    <font>
      <i/>
      <sz val="9"/>
      <color rgb="FF002060"/>
      <name val="Calibri"/>
      <family val="2"/>
      <scheme val="minor"/>
    </font>
    <font>
      <sz val="9"/>
      <color theme="1"/>
      <name val="Calibri"/>
      <family val="2"/>
      <scheme val="minor"/>
    </font>
    <font>
      <b/>
      <sz val="9"/>
      <color theme="1"/>
      <name val="Calibri"/>
      <family val="2"/>
      <scheme val="minor"/>
    </font>
    <font>
      <b/>
      <sz val="36"/>
      <color rgb="FF92D050"/>
      <name val="Calibri"/>
      <family val="2"/>
      <scheme val="minor"/>
    </font>
    <font>
      <b/>
      <sz val="11"/>
      <color rgb="FFFFFFFF"/>
      <name val="Calibri"/>
      <family val="2"/>
    </font>
    <font>
      <sz val="11"/>
      <color rgb="FF000000"/>
      <name val="Calibri"/>
      <family val="2"/>
    </font>
    <font>
      <b/>
      <sz val="11"/>
      <color rgb="FF000000"/>
      <name val="Calibri"/>
      <family val="2"/>
    </font>
    <font>
      <b/>
      <sz val="28"/>
      <color rgb="FF92D050"/>
      <name val="Calibri"/>
      <family val="2"/>
      <scheme val="minor"/>
    </font>
    <font>
      <b/>
      <sz val="28"/>
      <color theme="1"/>
      <name val="Calibri"/>
      <family val="2"/>
      <scheme val="minor"/>
    </font>
    <font>
      <sz val="28"/>
      <color theme="1"/>
      <name val="Calibri"/>
      <family val="2"/>
      <scheme val="minor"/>
    </font>
    <font>
      <b/>
      <sz val="28"/>
      <color rgb="FFFFFFFF"/>
      <name val="Calibri"/>
      <family val="2"/>
    </font>
    <font>
      <b/>
      <sz val="12"/>
      <color theme="0"/>
      <name val="Calibri"/>
      <family val="2"/>
      <scheme val="minor"/>
    </font>
    <font>
      <sz val="14"/>
      <color theme="0"/>
      <name val="Calibri"/>
      <family val="2"/>
      <scheme val="minor"/>
    </font>
    <font>
      <sz val="11"/>
      <color rgb="FF000000"/>
      <name val="Calibri"/>
      <family val="2"/>
      <scheme val="minor"/>
    </font>
    <font>
      <i/>
      <sz val="11"/>
      <color rgb="FF002060"/>
      <name val="Calibri"/>
      <family val="2"/>
      <scheme val="minor"/>
    </font>
    <font>
      <sz val="10"/>
      <color theme="1"/>
      <name val="Arial"/>
      <family val="2"/>
    </font>
    <font>
      <sz val="10"/>
      <color theme="0"/>
      <name val="Arial"/>
      <family val="2"/>
    </font>
    <font>
      <sz val="10"/>
      <color rgb="FFCC0066"/>
      <name val="Arial"/>
      <family val="2"/>
    </font>
    <font>
      <sz val="11"/>
      <color theme="4" tint="-0.249977111117893"/>
      <name val="Arial"/>
      <family val="2"/>
    </font>
    <font>
      <sz val="10"/>
      <name val="Arial"/>
      <family val="2"/>
    </font>
    <font>
      <sz val="12"/>
      <name val="Calibri Light"/>
      <family val="2"/>
      <scheme val="major"/>
    </font>
    <font>
      <b/>
      <sz val="14"/>
      <color theme="1"/>
      <name val="Calibri Light"/>
      <family val="2"/>
      <scheme val="major"/>
    </font>
    <font>
      <b/>
      <sz val="12"/>
      <color theme="0"/>
      <name val="Arial"/>
      <family val="2"/>
    </font>
    <font>
      <sz val="12"/>
      <color rgb="FFFF0000"/>
      <name val="Arial"/>
      <family val="2"/>
    </font>
    <font>
      <sz val="20"/>
      <color theme="1"/>
      <name val="Calibri"/>
      <family val="2"/>
      <scheme val="minor"/>
    </font>
    <font>
      <b/>
      <sz val="16"/>
      <color theme="1"/>
      <name val="Arial"/>
      <family val="2"/>
    </font>
    <font>
      <i/>
      <sz val="11"/>
      <color theme="1"/>
      <name val="Arial"/>
      <family val="2"/>
    </font>
    <font>
      <b/>
      <sz val="10"/>
      <color theme="0"/>
      <name val="Arial"/>
      <family val="2"/>
    </font>
    <font>
      <sz val="9"/>
      <color theme="0"/>
      <name val="Arial"/>
      <family val="2"/>
    </font>
    <font>
      <b/>
      <sz val="12"/>
      <name val="Arial"/>
      <family val="2"/>
    </font>
    <font>
      <sz val="11"/>
      <color theme="1"/>
      <name val="Calibri"/>
      <family val="2"/>
    </font>
  </fonts>
  <fills count="1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CC000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4" tint="0.39997558519241921"/>
        <bgColor indexed="64"/>
      </patternFill>
    </fill>
  </fills>
  <borders count="50">
    <border>
      <left/>
      <right/>
      <top/>
      <bottom/>
      <diagonal/>
    </border>
    <border>
      <left style="medium">
        <color indexed="64"/>
      </left>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top style="medium">
        <color indexed="64"/>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double">
        <color theme="0" tint="-0.499984740745262"/>
      </bottom>
      <diagonal/>
    </border>
    <border>
      <left style="double">
        <color theme="0" tint="-0.499984740745262"/>
      </left>
      <right style="medium">
        <color theme="0" tint="-0.499984740745262"/>
      </right>
      <top style="double">
        <color theme="0" tint="-0.499984740745262"/>
      </top>
      <bottom style="medium">
        <color theme="0" tint="-0.499984740745262"/>
      </bottom>
      <diagonal/>
    </border>
    <border>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medium">
        <color theme="0"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double">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double">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bottom style="medium">
        <color theme="0" tint="-0.499984740745262"/>
      </bottom>
      <diagonal/>
    </border>
    <border>
      <left style="medium">
        <color theme="0" tint="-0.499984740745262"/>
      </left>
      <right/>
      <top/>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rgb="FFFF0000"/>
      </left>
      <right style="medium">
        <color rgb="FFFF0000"/>
      </right>
      <top style="medium">
        <color rgb="FFFF0000"/>
      </top>
      <bottom style="medium">
        <color rgb="FFFF0000"/>
      </bottom>
      <diagonal/>
    </border>
    <border>
      <left/>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1" tint="0.34998626667073579"/>
      </right>
      <top style="medium">
        <color theme="0" tint="-0.499984740745262"/>
      </top>
      <bottom/>
      <diagonal/>
    </border>
    <border>
      <left style="thin">
        <color indexed="64"/>
      </left>
      <right style="thin">
        <color indexed="64"/>
      </right>
      <top style="thin">
        <color indexed="64"/>
      </top>
      <bottom style="thin">
        <color indexed="64"/>
      </bottom>
      <diagonal/>
    </border>
    <border>
      <left style="medium">
        <color theme="0" tint="-0.499984740745262"/>
      </left>
      <right style="thin">
        <color theme="1" tint="0.34998626667073579"/>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31">
    <xf numFmtId="0" fontId="0" fillId="0" borderId="0" xfId="0"/>
    <xf numFmtId="0" fontId="0" fillId="0" borderId="0" xfId="0" applyAlignment="1">
      <alignment horizontal="left"/>
    </xf>
    <xf numFmtId="2" fontId="0" fillId="0" borderId="0" xfId="0" applyNumberFormat="1" applyAlignment="1">
      <alignment horizontal="left"/>
    </xf>
    <xf numFmtId="0" fontId="13" fillId="4" borderId="2" xfId="0" applyFont="1" applyFill="1" applyBorder="1" applyAlignment="1">
      <alignment vertical="center"/>
    </xf>
    <xf numFmtId="0" fontId="2" fillId="5" borderId="2" xfId="0" applyFont="1" applyFill="1" applyBorder="1" applyAlignment="1">
      <alignment wrapText="1"/>
    </xf>
    <xf numFmtId="0" fontId="2" fillId="0" borderId="2" xfId="0" applyFont="1" applyBorder="1" applyAlignment="1">
      <alignment wrapText="1"/>
    </xf>
    <xf numFmtId="0" fontId="0" fillId="7" borderId="0" xfId="0" applyFill="1"/>
    <xf numFmtId="0" fontId="2" fillId="7" borderId="0" xfId="0" applyFont="1" applyFill="1"/>
    <xf numFmtId="0" fontId="4" fillId="7" borderId="2" xfId="0" applyFont="1" applyFill="1" applyBorder="1"/>
    <xf numFmtId="0" fontId="2" fillId="0" borderId="0" xfId="0" applyFont="1"/>
    <xf numFmtId="0" fontId="5" fillId="7" borderId="2" xfId="0" applyFont="1" applyFill="1" applyBorder="1" applyAlignment="1">
      <alignment wrapText="1"/>
    </xf>
    <xf numFmtId="0" fontId="2" fillId="5" borderId="6" xfId="0" applyFont="1" applyFill="1" applyBorder="1" applyAlignment="1">
      <alignment wrapText="1"/>
    </xf>
    <xf numFmtId="0" fontId="2" fillId="4" borderId="10"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2" fillId="9" borderId="2" xfId="0" applyFont="1" applyFill="1" applyBorder="1" applyAlignment="1">
      <alignment vertical="center"/>
    </xf>
    <xf numFmtId="0" fontId="0" fillId="0" borderId="0" xfId="0" applyAlignment="1">
      <alignment horizontal="center" vertical="center"/>
    </xf>
    <xf numFmtId="0" fontId="13" fillId="4" borderId="2"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2" xfId="0" applyFont="1" applyFill="1" applyBorder="1" applyAlignment="1">
      <alignment vertical="center" wrapText="1"/>
    </xf>
    <xf numFmtId="0" fontId="13" fillId="4" borderId="0" xfId="0" applyFont="1" applyFill="1" applyAlignment="1">
      <alignment horizontal="center" vertical="center"/>
    </xf>
    <xf numFmtId="164" fontId="2" fillId="0" borderId="0" xfId="3" applyNumberFormat="1" applyFont="1" applyAlignment="1">
      <alignment horizontal="center" vertical="top"/>
    </xf>
    <xf numFmtId="0" fontId="2" fillId="0" borderId="0" xfId="0" applyFont="1" applyAlignment="1">
      <alignment horizontal="center" vertical="top"/>
    </xf>
    <xf numFmtId="0" fontId="2" fillId="0" borderId="0" xfId="0" applyFont="1" applyAlignment="1">
      <alignment vertical="top"/>
    </xf>
    <xf numFmtId="0" fontId="7" fillId="0" borderId="0" xfId="0" applyFont="1" applyAlignment="1">
      <alignment horizontal="center" vertical="center" wrapText="1"/>
    </xf>
    <xf numFmtId="0" fontId="7" fillId="0" borderId="0" xfId="0" applyFont="1" applyAlignment="1">
      <alignment vertical="center" wrapText="1"/>
    </xf>
    <xf numFmtId="0" fontId="2" fillId="0" borderId="11" xfId="0" applyFont="1" applyBorder="1" applyAlignment="1">
      <alignment vertical="top"/>
    </xf>
    <xf numFmtId="1" fontId="2" fillId="0" borderId="11" xfId="3" applyNumberFormat="1" applyFont="1" applyBorder="1" applyAlignment="1">
      <alignment horizontal="center" vertical="top"/>
    </xf>
    <xf numFmtId="164" fontId="2" fillId="0" borderId="11" xfId="3" applyNumberFormat="1" applyFont="1" applyBorder="1" applyAlignment="1">
      <alignment horizontal="center" vertical="top"/>
    </xf>
    <xf numFmtId="1" fontId="2" fillId="0" borderId="0" xfId="3" applyNumberFormat="1" applyFont="1" applyAlignment="1">
      <alignment horizontal="center" vertical="top"/>
    </xf>
    <xf numFmtId="0" fontId="2" fillId="0" borderId="12" xfId="0" applyFont="1" applyBorder="1" applyAlignment="1">
      <alignment vertical="top"/>
    </xf>
    <xf numFmtId="1" fontId="2" fillId="0" borderId="12" xfId="3" applyNumberFormat="1" applyFont="1" applyBorder="1" applyAlignment="1">
      <alignment horizontal="center" vertical="top"/>
    </xf>
    <xf numFmtId="0" fontId="7" fillId="0" borderId="4" xfId="0" applyFont="1" applyBorder="1" applyAlignment="1">
      <alignment vertical="center" wrapText="1"/>
    </xf>
    <xf numFmtId="1" fontId="7" fillId="0" borderId="2" xfId="3" applyNumberFormat="1" applyFont="1" applyBorder="1" applyAlignment="1">
      <alignment horizontal="center" vertical="center" wrapText="1"/>
    </xf>
    <xf numFmtId="164" fontId="7" fillId="3" borderId="2" xfId="3" applyNumberFormat="1" applyFont="1" applyFill="1" applyBorder="1" applyAlignment="1">
      <alignment horizontal="center" vertical="center" wrapText="1"/>
    </xf>
    <xf numFmtId="164" fontId="2" fillId="0" borderId="0" xfId="3" applyNumberFormat="1" applyFont="1" applyAlignment="1">
      <alignment horizontal="center"/>
    </xf>
    <xf numFmtId="164" fontId="7" fillId="4" borderId="2" xfId="3" applyNumberFormat="1" applyFont="1" applyFill="1" applyBorder="1" applyAlignment="1">
      <alignment horizontal="center" vertical="center" wrapText="1"/>
    </xf>
    <xf numFmtId="1" fontId="2" fillId="4" borderId="12" xfId="3" applyNumberFormat="1" applyFont="1" applyFill="1" applyBorder="1" applyAlignment="1">
      <alignment horizontal="center" vertical="center"/>
    </xf>
    <xf numFmtId="1" fontId="6" fillId="9" borderId="11" xfId="3" applyNumberFormat="1" applyFont="1" applyFill="1" applyBorder="1" applyAlignment="1">
      <alignment horizontal="center" vertical="center"/>
    </xf>
    <xf numFmtId="0" fontId="2" fillId="0" borderId="2" xfId="0" applyFont="1" applyBorder="1" applyAlignment="1">
      <alignment horizontal="center" vertical="center"/>
    </xf>
    <xf numFmtId="0" fontId="3" fillId="9"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3" fillId="0" borderId="2" xfId="0" applyFont="1" applyBorder="1" applyAlignment="1">
      <alignment vertical="center"/>
    </xf>
    <xf numFmtId="9" fontId="3" fillId="0" borderId="2" xfId="2" applyFont="1" applyFill="1" applyBorder="1" applyAlignment="1">
      <alignment vertical="center"/>
    </xf>
    <xf numFmtId="1" fontId="3" fillId="0" borderId="2" xfId="0" applyNumberFormat="1" applyFont="1" applyBorder="1" applyAlignment="1">
      <alignment vertical="center"/>
    </xf>
    <xf numFmtId="1" fontId="3" fillId="0" borderId="3" xfId="2" applyNumberFormat="1" applyFont="1" applyFill="1" applyBorder="1" applyAlignment="1">
      <alignment vertical="center"/>
    </xf>
    <xf numFmtId="9" fontId="2" fillId="5" borderId="2" xfId="2" applyFont="1" applyFill="1" applyBorder="1" applyAlignment="1">
      <alignment horizontal="left" wrapText="1"/>
    </xf>
    <xf numFmtId="0" fontId="2" fillId="5" borderId="2" xfId="0" applyFont="1" applyFill="1" applyBorder="1" applyAlignment="1">
      <alignment horizontal="left" wrapText="1"/>
    </xf>
    <xf numFmtId="9" fontId="2" fillId="9" borderId="2" xfId="2" applyFont="1" applyFill="1" applyBorder="1" applyAlignment="1">
      <alignment horizontal="left" wrapText="1"/>
    </xf>
    <xf numFmtId="0" fontId="2" fillId="5" borderId="3" xfId="0" applyFont="1" applyFill="1" applyBorder="1" applyAlignment="1">
      <alignment horizontal="left" wrapText="1"/>
    </xf>
    <xf numFmtId="0" fontId="2" fillId="9" borderId="2" xfId="0" applyFont="1" applyFill="1" applyBorder="1" applyAlignment="1">
      <alignment horizontal="left" wrapText="1"/>
    </xf>
    <xf numFmtId="0" fontId="2" fillId="9" borderId="2" xfId="0" applyFont="1" applyFill="1" applyBorder="1" applyAlignment="1">
      <alignment horizontal="left" vertical="center" wrapText="1"/>
    </xf>
    <xf numFmtId="44" fontId="2" fillId="9" borderId="2" xfId="0" applyNumberFormat="1" applyFont="1" applyFill="1" applyBorder="1" applyAlignment="1">
      <alignment vertical="center"/>
    </xf>
    <xf numFmtId="44" fontId="3" fillId="9" borderId="2" xfId="0" applyNumberFormat="1" applyFont="1" applyFill="1" applyBorder="1" applyAlignment="1">
      <alignment vertical="center"/>
    </xf>
    <xf numFmtId="44" fontId="3" fillId="9" borderId="2" xfId="0" applyNumberFormat="1" applyFont="1" applyFill="1" applyBorder="1" applyAlignment="1">
      <alignment horizontal="right" vertical="center" wrapText="1"/>
    </xf>
    <xf numFmtId="0" fontId="2" fillId="0" borderId="2" xfId="0" applyFont="1" applyBorder="1" applyAlignment="1">
      <alignment vertical="center"/>
    </xf>
    <xf numFmtId="44" fontId="3" fillId="0" borderId="2" xfId="0" applyNumberFormat="1" applyFont="1" applyBorder="1" applyAlignment="1">
      <alignment vertical="center"/>
    </xf>
    <xf numFmtId="44" fontId="3" fillId="5" borderId="2" xfId="0" applyNumberFormat="1" applyFont="1" applyFill="1" applyBorder="1" applyAlignment="1">
      <alignment vertical="center" wrapText="1"/>
    </xf>
    <xf numFmtId="44" fontId="2" fillId="9" borderId="2" xfId="1" applyFont="1" applyFill="1" applyBorder="1" applyAlignment="1">
      <alignment vertical="center"/>
    </xf>
    <xf numFmtId="44" fontId="2" fillId="9" borderId="2" xfId="1" applyFont="1" applyFill="1" applyBorder="1" applyAlignment="1">
      <alignment vertical="center" wrapText="1"/>
    </xf>
    <xf numFmtId="0" fontId="3" fillId="9" borderId="2" xfId="0" applyFont="1" applyFill="1" applyBorder="1" applyAlignment="1">
      <alignment vertical="center" wrapText="1"/>
    </xf>
    <xf numFmtId="44" fontId="3" fillId="9" borderId="2" xfId="0" applyNumberFormat="1" applyFont="1" applyFill="1" applyBorder="1" applyAlignment="1">
      <alignment vertical="center" wrapText="1"/>
    </xf>
    <xf numFmtId="44" fontId="3" fillId="9" borderId="7" xfId="0" applyNumberFormat="1" applyFont="1" applyFill="1" applyBorder="1" applyAlignment="1">
      <alignment vertical="center" wrapText="1"/>
    </xf>
    <xf numFmtId="0" fontId="3" fillId="9" borderId="2" xfId="0" applyFont="1" applyFill="1" applyBorder="1" applyAlignment="1">
      <alignment vertical="center"/>
    </xf>
    <xf numFmtId="0" fontId="17" fillId="9" borderId="2" xfId="0" applyFont="1" applyFill="1" applyBorder="1" applyAlignment="1">
      <alignment vertical="center"/>
    </xf>
    <xf numFmtId="0" fontId="18" fillId="0" borderId="0" xfId="0" applyFont="1" applyAlignment="1">
      <alignment vertical="center"/>
    </xf>
    <xf numFmtId="0" fontId="2" fillId="9" borderId="2" xfId="0" applyFont="1" applyFill="1" applyBorder="1" applyAlignment="1">
      <alignment horizontal="right" vertical="center"/>
    </xf>
    <xf numFmtId="9" fontId="2" fillId="0" borderId="2" xfId="2" applyFont="1" applyFill="1" applyBorder="1" applyAlignment="1">
      <alignment horizontal="right" vertical="center"/>
    </xf>
    <xf numFmtId="0" fontId="2" fillId="0" borderId="2" xfId="0" applyFont="1" applyBorder="1" applyAlignment="1">
      <alignment horizontal="right" vertical="center"/>
    </xf>
    <xf numFmtId="9" fontId="2" fillId="9" borderId="2" xfId="2" applyFont="1" applyFill="1" applyBorder="1" applyAlignment="1">
      <alignment horizontal="right" vertical="center"/>
    </xf>
    <xf numFmtId="0" fontId="13" fillId="4" borderId="10" xfId="0" applyFont="1" applyFill="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0" fillId="0" borderId="0" xfId="0" applyAlignment="1">
      <alignment wrapText="1"/>
    </xf>
    <xf numFmtId="0" fontId="7" fillId="0" borderId="4" xfId="0" applyFont="1" applyBorder="1" applyAlignment="1">
      <alignment horizontal="center" vertical="center" wrapText="1"/>
    </xf>
    <xf numFmtId="164" fontId="7" fillId="0" borderId="2" xfId="3" applyNumberFormat="1" applyFont="1" applyFill="1" applyBorder="1" applyAlignment="1">
      <alignment horizontal="center" vertical="center" wrapText="1"/>
    </xf>
    <xf numFmtId="0" fontId="2" fillId="0" borderId="0" xfId="0" applyFont="1" applyAlignment="1">
      <alignment wrapText="1"/>
    </xf>
    <xf numFmtId="0" fontId="2" fillId="0" borderId="2" xfId="0" applyFont="1" applyBorder="1" applyAlignment="1">
      <alignment horizontal="left" vertical="center" wrapText="1"/>
    </xf>
    <xf numFmtId="44" fontId="2" fillId="6" borderId="2" xfId="0" applyNumberFormat="1" applyFont="1" applyFill="1" applyBorder="1"/>
    <xf numFmtId="0" fontId="2" fillId="4" borderId="5" xfId="0" applyFont="1" applyFill="1" applyBorder="1"/>
    <xf numFmtId="1" fontId="2" fillId="9" borderId="2" xfId="0" applyNumberFormat="1" applyFont="1" applyFill="1" applyBorder="1"/>
    <xf numFmtId="44" fontId="2" fillId="6" borderId="6" xfId="0" applyNumberFormat="1" applyFont="1" applyFill="1" applyBorder="1"/>
    <xf numFmtId="0" fontId="10" fillId="4" borderId="4" xfId="0" applyFont="1" applyFill="1" applyBorder="1" applyAlignment="1">
      <alignment wrapText="1"/>
    </xf>
    <xf numFmtId="0" fontId="9" fillId="4" borderId="25" xfId="0" applyFont="1" applyFill="1" applyBorder="1" applyAlignment="1">
      <alignment wrapText="1"/>
    </xf>
    <xf numFmtId="44" fontId="2" fillId="6" borderId="2" xfId="0" applyNumberFormat="1" applyFont="1" applyFill="1" applyBorder="1" applyAlignment="1">
      <alignment horizontal="right"/>
    </xf>
    <xf numFmtId="44" fontId="2" fillId="9" borderId="2" xfId="0" applyNumberFormat="1" applyFont="1" applyFill="1" applyBorder="1" applyAlignment="1">
      <alignment horizontal="right"/>
    </xf>
    <xf numFmtId="0" fontId="2" fillId="7" borderId="0" xfId="0" applyFont="1" applyFill="1" applyAlignment="1">
      <alignment horizontal="right"/>
    </xf>
    <xf numFmtId="1" fontId="2" fillId="9" borderId="2" xfId="0" applyNumberFormat="1" applyFont="1" applyFill="1" applyBorder="1" applyAlignment="1">
      <alignment horizontal="right"/>
    </xf>
    <xf numFmtId="1" fontId="2" fillId="3" borderId="2" xfId="0" applyNumberFormat="1" applyFont="1" applyFill="1" applyBorder="1" applyAlignment="1">
      <alignment horizontal="right"/>
    </xf>
    <xf numFmtId="9" fontId="2" fillId="2" borderId="2" xfId="2" applyFont="1" applyFill="1" applyBorder="1" applyAlignment="1">
      <alignment horizontal="right"/>
    </xf>
    <xf numFmtId="0" fontId="4" fillId="7" borderId="2" xfId="0" applyFont="1" applyFill="1" applyBorder="1" applyAlignment="1">
      <alignment horizontal="right"/>
    </xf>
    <xf numFmtId="9" fontId="3" fillId="2" borderId="2" xfId="2" applyFont="1" applyFill="1" applyBorder="1" applyAlignment="1">
      <alignment horizontal="right"/>
    </xf>
    <xf numFmtId="0" fontId="2" fillId="0" borderId="0" xfId="0" applyFont="1" applyAlignment="1">
      <alignment horizontal="right"/>
    </xf>
    <xf numFmtId="0" fontId="2" fillId="4" borderId="4" xfId="0" applyFont="1" applyFill="1" applyBorder="1" applyAlignment="1">
      <alignment horizontal="right"/>
    </xf>
    <xf numFmtId="0" fontId="2" fillId="7" borderId="3" xfId="0" applyFont="1" applyFill="1" applyBorder="1" applyAlignment="1">
      <alignment horizontal="right"/>
    </xf>
    <xf numFmtId="0" fontId="2" fillId="7" borderId="3" xfId="0" applyFont="1" applyFill="1" applyBorder="1"/>
    <xf numFmtId="1" fontId="2" fillId="3" borderId="10" xfId="0" applyNumberFormat="1" applyFont="1" applyFill="1" applyBorder="1" applyAlignment="1">
      <alignment horizontal="right"/>
    </xf>
    <xf numFmtId="0" fontId="2" fillId="9" borderId="17" xfId="0" applyFont="1" applyFill="1" applyBorder="1" applyAlignment="1">
      <alignment vertical="center"/>
    </xf>
    <xf numFmtId="0" fontId="2" fillId="9" borderId="27" xfId="0" applyFont="1" applyFill="1" applyBorder="1" applyAlignment="1">
      <alignment vertical="center"/>
    </xf>
    <xf numFmtId="1" fontId="2" fillId="9" borderId="31" xfId="0" applyNumberFormat="1" applyFont="1" applyFill="1" applyBorder="1" applyAlignment="1">
      <alignment horizontal="center" vertical="center" wrapText="1"/>
    </xf>
    <xf numFmtId="2" fontId="2" fillId="9" borderId="33" xfId="0" applyNumberFormat="1" applyFont="1" applyFill="1" applyBorder="1" applyAlignment="1">
      <alignment horizontal="center" vertical="center" wrapText="1"/>
    </xf>
    <xf numFmtId="0" fontId="0" fillId="0" borderId="0" xfId="0" applyProtection="1">
      <protection locked="0"/>
    </xf>
    <xf numFmtId="0" fontId="29" fillId="0" borderId="0" xfId="0" applyFont="1" applyAlignment="1">
      <alignment horizontal="center" vertical="center" wrapText="1"/>
    </xf>
    <xf numFmtId="0" fontId="0" fillId="0" borderId="0" xfId="0" applyAlignment="1">
      <alignment horizontal="center"/>
    </xf>
    <xf numFmtId="0" fontId="33"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vertical="center"/>
    </xf>
    <xf numFmtId="0" fontId="29" fillId="0" borderId="0" xfId="0" applyFont="1" applyAlignment="1">
      <alignment horizontal="left" vertical="center"/>
    </xf>
    <xf numFmtId="0" fontId="33" fillId="0" borderId="0" xfId="0" applyFont="1" applyAlignment="1" applyProtection="1">
      <alignment horizontal="left" vertical="center" wrapText="1"/>
      <protection locked="0"/>
    </xf>
    <xf numFmtId="0" fontId="35"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0" xfId="0" applyFont="1" applyAlignment="1" applyProtection="1">
      <alignment horizontal="left" vertical="center" wrapText="1"/>
      <protection locked="0"/>
    </xf>
    <xf numFmtId="0" fontId="37" fillId="0" borderId="0" xfId="0" applyFont="1"/>
    <xf numFmtId="0" fontId="37" fillId="0" borderId="0" xfId="0" applyFont="1" applyAlignment="1">
      <alignment horizontal="center"/>
    </xf>
    <xf numFmtId="166" fontId="37" fillId="0" borderId="0" xfId="0" applyNumberFormat="1" applyFont="1" applyAlignment="1">
      <alignment horizontal="center"/>
    </xf>
    <xf numFmtId="0" fontId="38" fillId="0" borderId="0" xfId="0" applyFont="1" applyAlignment="1">
      <alignment horizontal="center"/>
    </xf>
    <xf numFmtId="0" fontId="0" fillId="12" borderId="0" xfId="0" applyFill="1"/>
    <xf numFmtId="4" fontId="0" fillId="0" borderId="0" xfId="0" applyNumberFormat="1"/>
    <xf numFmtId="0" fontId="38" fillId="12" borderId="0" xfId="0" applyFont="1" applyFill="1" applyAlignment="1">
      <alignment horizontal="center"/>
    </xf>
    <xf numFmtId="4" fontId="27" fillId="0" borderId="0" xfId="0" applyNumberFormat="1" applyFont="1"/>
    <xf numFmtId="0" fontId="37" fillId="12" borderId="0" xfId="0" applyFont="1" applyFill="1"/>
    <xf numFmtId="166" fontId="37" fillId="12" borderId="0" xfId="0" applyNumberFormat="1" applyFont="1" applyFill="1" applyAlignment="1">
      <alignment horizontal="center"/>
    </xf>
    <xf numFmtId="166" fontId="38" fillId="12" borderId="0" xfId="0" applyNumberFormat="1" applyFont="1" applyFill="1" applyAlignment="1">
      <alignment horizontal="center"/>
    </xf>
    <xf numFmtId="0" fontId="27" fillId="12" borderId="0" xfId="0" applyFont="1" applyFill="1"/>
    <xf numFmtId="0" fontId="40" fillId="12" borderId="0" xfId="0" applyFont="1" applyFill="1" applyAlignment="1">
      <alignment horizontal="center" vertical="center"/>
    </xf>
    <xf numFmtId="4" fontId="41" fillId="12" borderId="0" xfId="0" applyNumberFormat="1" applyFont="1" applyFill="1" applyAlignment="1">
      <alignment horizontal="right" vertical="center"/>
    </xf>
    <xf numFmtId="0" fontId="41" fillId="12" borderId="0" xfId="0" applyFont="1" applyFill="1" applyAlignment="1">
      <alignment vertical="center"/>
    </xf>
    <xf numFmtId="0" fontId="27" fillId="0" borderId="0" xfId="0" applyFont="1" applyAlignment="1">
      <alignment horizontal="center"/>
    </xf>
    <xf numFmtId="0" fontId="27" fillId="0" borderId="0" xfId="0" applyFont="1"/>
    <xf numFmtId="4" fontId="41" fillId="0" borderId="0" xfId="0" applyNumberFormat="1" applyFont="1" applyAlignment="1">
      <alignment horizontal="right" vertical="center"/>
    </xf>
    <xf numFmtId="0" fontId="41" fillId="0" borderId="0" xfId="0" applyFont="1" applyAlignment="1">
      <alignment vertical="center"/>
    </xf>
    <xf numFmtId="0" fontId="42" fillId="0" borderId="0" xfId="0" applyFont="1" applyAlignment="1">
      <alignment vertical="center"/>
    </xf>
    <xf numFmtId="4" fontId="42" fillId="0" borderId="0" xfId="0" applyNumberFormat="1" applyFont="1" applyAlignment="1">
      <alignment horizontal="right" vertical="center"/>
    </xf>
    <xf numFmtId="0" fontId="42" fillId="0" borderId="0" xfId="0" applyFont="1" applyAlignment="1" applyProtection="1">
      <alignment vertical="center"/>
      <protection locked="0"/>
    </xf>
    <xf numFmtId="4" fontId="42" fillId="0" borderId="0" xfId="0" applyNumberFormat="1" applyFont="1" applyAlignment="1" applyProtection="1">
      <alignment horizontal="right" vertical="center"/>
      <protection locked="0"/>
    </xf>
    <xf numFmtId="0" fontId="30" fillId="0" borderId="0" xfId="0" applyFont="1" applyAlignment="1">
      <alignment horizontal="center"/>
    </xf>
    <xf numFmtId="166" fontId="38" fillId="0" borderId="0" xfId="0" applyNumberFormat="1" applyFont="1" applyAlignment="1">
      <alignment horizontal="center"/>
    </xf>
    <xf numFmtId="0" fontId="40" fillId="0" borderId="0" xfId="0" applyFont="1" applyAlignment="1">
      <alignment horizontal="center" vertical="center"/>
    </xf>
    <xf numFmtId="165" fontId="32" fillId="0" borderId="0" xfId="0" applyNumberFormat="1" applyFont="1" applyAlignment="1">
      <alignment horizontal="center" vertical="center"/>
    </xf>
    <xf numFmtId="0" fontId="36" fillId="0" borderId="0" xfId="0" applyFont="1" applyAlignment="1">
      <alignment vertical="center" wrapText="1"/>
    </xf>
    <xf numFmtId="0" fontId="34" fillId="0" borderId="0" xfId="0" applyFont="1" applyAlignment="1">
      <alignment horizontal="center" vertical="center" wrapText="1"/>
    </xf>
    <xf numFmtId="0" fontId="30" fillId="12" borderId="0" xfId="0" applyFont="1" applyFill="1"/>
    <xf numFmtId="0" fontId="0" fillId="5" borderId="0" xfId="0" applyFill="1"/>
    <xf numFmtId="0" fontId="38" fillId="5" borderId="0" xfId="0" applyFont="1" applyFill="1" applyAlignment="1">
      <alignment horizontal="center"/>
    </xf>
    <xf numFmtId="0" fontId="37" fillId="5" borderId="0" xfId="0" applyFont="1" applyFill="1"/>
    <xf numFmtId="166" fontId="37" fillId="5" borderId="0" xfId="0" applyNumberFormat="1" applyFont="1" applyFill="1" applyAlignment="1">
      <alignment horizontal="center"/>
    </xf>
    <xf numFmtId="166" fontId="38" fillId="5" borderId="0" xfId="0" applyNumberFormat="1" applyFont="1" applyFill="1" applyAlignment="1">
      <alignment horizontal="center"/>
    </xf>
    <xf numFmtId="0" fontId="40" fillId="5" borderId="0" xfId="0" applyFont="1" applyFill="1" applyAlignment="1">
      <alignment horizontal="center" vertical="center"/>
    </xf>
    <xf numFmtId="4" fontId="41" fillId="5" borderId="0" xfId="0" applyNumberFormat="1" applyFont="1" applyFill="1" applyAlignment="1">
      <alignment horizontal="right" vertical="center"/>
    </xf>
    <xf numFmtId="0" fontId="41" fillId="5" borderId="0" xfId="0" applyFont="1" applyFill="1" applyAlignment="1">
      <alignment vertical="center"/>
    </xf>
    <xf numFmtId="166" fontId="44" fillId="12" borderId="0" xfId="0" applyNumberFormat="1" applyFont="1" applyFill="1" applyAlignment="1">
      <alignment horizontal="center"/>
    </xf>
    <xf numFmtId="0" fontId="44" fillId="0" borderId="0" xfId="0" applyFont="1" applyAlignment="1">
      <alignment horizontal="center"/>
    </xf>
    <xf numFmtId="0" fontId="45" fillId="12" borderId="0" xfId="0" applyFont="1" applyFill="1"/>
    <xf numFmtId="4" fontId="44" fillId="0" borderId="0" xfId="0" applyNumberFormat="1" applyFont="1"/>
    <xf numFmtId="0" fontId="45" fillId="0" borderId="0" xfId="0" applyFont="1"/>
    <xf numFmtId="166" fontId="45" fillId="12" borderId="0" xfId="0" applyNumberFormat="1" applyFont="1" applyFill="1" applyAlignment="1">
      <alignment horizontal="center"/>
    </xf>
    <xf numFmtId="0" fontId="45" fillId="0" borderId="0" xfId="0" applyFont="1" applyAlignment="1">
      <alignment horizontal="center"/>
    </xf>
    <xf numFmtId="0" fontId="46" fillId="12" borderId="0" xfId="0" applyFont="1" applyFill="1" applyAlignment="1">
      <alignment horizontal="center" vertical="center"/>
    </xf>
    <xf numFmtId="0" fontId="28" fillId="0" borderId="0" xfId="0" applyFont="1" applyProtection="1">
      <protection locked="0"/>
    </xf>
    <xf numFmtId="0" fontId="47" fillId="0" borderId="0" xfId="0" applyFont="1" applyAlignment="1" applyProtection="1">
      <alignment horizontal="center" vertical="center"/>
      <protection locked="0"/>
    </xf>
    <xf numFmtId="9" fontId="28" fillId="0" borderId="0" xfId="0" applyNumberFormat="1" applyFont="1" applyProtection="1">
      <protection locked="0"/>
    </xf>
    <xf numFmtId="0" fontId="48" fillId="0" borderId="0" xfId="0" applyFont="1" applyProtection="1">
      <protection locked="0"/>
    </xf>
    <xf numFmtId="165" fontId="31" fillId="0" borderId="0" xfId="0" applyNumberFormat="1" applyFont="1" applyAlignment="1">
      <alignment horizontal="center" vertical="center"/>
    </xf>
    <xf numFmtId="0" fontId="36" fillId="0" borderId="0" xfId="0" applyFont="1" applyAlignment="1">
      <alignment horizontal="center" vertical="center" wrapText="1"/>
    </xf>
    <xf numFmtId="0" fontId="0" fillId="0" borderId="0" xfId="0" applyAlignment="1">
      <alignment vertical="center"/>
    </xf>
    <xf numFmtId="0" fontId="49" fillId="0" borderId="0" xfId="0" applyFont="1" applyAlignment="1">
      <alignment vertical="center"/>
    </xf>
    <xf numFmtId="0" fontId="2" fillId="7" borderId="36" xfId="0" applyFont="1" applyFill="1" applyBorder="1" applyAlignment="1">
      <alignment horizontal="right"/>
    </xf>
    <xf numFmtId="168" fontId="2" fillId="0" borderId="12" xfId="3" applyNumberFormat="1" applyFont="1" applyBorder="1" applyAlignment="1">
      <alignment horizontal="center" vertical="center"/>
    </xf>
    <xf numFmtId="168" fontId="2" fillId="9" borderId="2" xfId="0" applyNumberFormat="1" applyFont="1" applyFill="1" applyBorder="1"/>
    <xf numFmtId="2" fontId="2" fillId="9" borderId="2" xfId="0" applyNumberFormat="1" applyFont="1" applyFill="1" applyBorder="1"/>
    <xf numFmtId="2" fontId="2" fillId="3" borderId="2" xfId="0" applyNumberFormat="1" applyFont="1" applyFill="1" applyBorder="1" applyAlignment="1">
      <alignment horizontal="right"/>
    </xf>
    <xf numFmtId="0" fontId="2" fillId="12" borderId="10" xfId="0" applyFont="1" applyFill="1" applyBorder="1" applyAlignment="1">
      <alignment horizontal="right"/>
    </xf>
    <xf numFmtId="0" fontId="2" fillId="12" borderId="10" xfId="0" applyFont="1" applyFill="1" applyBorder="1"/>
    <xf numFmtId="44" fontId="2" fillId="12" borderId="2" xfId="0" applyNumberFormat="1" applyFont="1" applyFill="1" applyBorder="1" applyAlignment="1">
      <alignment horizontal="right"/>
    </xf>
    <xf numFmtId="0" fontId="2" fillId="12" borderId="2" xfId="0" applyFont="1" applyFill="1" applyBorder="1"/>
    <xf numFmtId="44" fontId="2" fillId="12" borderId="2" xfId="0" applyNumberFormat="1" applyFont="1" applyFill="1" applyBorder="1"/>
    <xf numFmtId="0" fontId="15" fillId="0" borderId="0" xfId="0" applyFont="1" applyAlignment="1">
      <alignment horizontal="right"/>
    </xf>
    <xf numFmtId="168" fontId="2" fillId="9" borderId="31" xfId="0" applyNumberFormat="1" applyFont="1" applyFill="1" applyBorder="1" applyAlignment="1">
      <alignment horizontal="center" vertical="center" wrapText="1"/>
    </xf>
    <xf numFmtId="2" fontId="2" fillId="9" borderId="31" xfId="0" applyNumberFormat="1" applyFont="1" applyFill="1" applyBorder="1" applyAlignment="1">
      <alignment horizontal="center" vertical="center" wrapText="1"/>
    </xf>
    <xf numFmtId="0" fontId="2" fillId="9" borderId="2" xfId="0" applyFont="1" applyFill="1" applyBorder="1" applyAlignment="1">
      <alignment wrapText="1"/>
    </xf>
    <xf numFmtId="0" fontId="2" fillId="7" borderId="0" xfId="0" applyFont="1" applyFill="1" applyAlignment="1">
      <alignment wrapText="1"/>
    </xf>
    <xf numFmtId="0" fontId="2" fillId="4" borderId="6" xfId="0" applyFont="1" applyFill="1" applyBorder="1" applyAlignment="1">
      <alignment wrapText="1"/>
    </xf>
    <xf numFmtId="0" fontId="4" fillId="7" borderId="2" xfId="0" applyFont="1" applyFill="1" applyBorder="1" applyAlignment="1">
      <alignment wrapText="1"/>
    </xf>
    <xf numFmtId="0" fontId="2" fillId="7" borderId="2" xfId="0" applyFont="1" applyFill="1" applyBorder="1" applyAlignment="1">
      <alignment wrapText="1"/>
    </xf>
    <xf numFmtId="0" fontId="2" fillId="7" borderId="9" xfId="0" applyFont="1" applyFill="1" applyBorder="1" applyAlignment="1">
      <alignment wrapText="1"/>
    </xf>
    <xf numFmtId="2" fontId="2" fillId="9" borderId="34" xfId="0" applyNumberFormat="1" applyFont="1" applyFill="1" applyBorder="1" applyAlignment="1">
      <alignment horizontal="center" vertical="center" wrapText="1"/>
    </xf>
    <xf numFmtId="1" fontId="3" fillId="0" borderId="16" xfId="2" applyNumberFormat="1" applyFont="1" applyFill="1" applyBorder="1" applyAlignment="1">
      <alignment vertical="center"/>
    </xf>
    <xf numFmtId="0" fontId="3" fillId="0" borderId="37" xfId="0" applyFont="1" applyBorder="1" applyAlignment="1">
      <alignment vertical="center" wrapText="1"/>
    </xf>
    <xf numFmtId="0" fontId="2" fillId="0" borderId="2" xfId="0" applyFont="1" applyBorder="1" applyAlignment="1">
      <alignment horizontal="left" wrapText="1"/>
    </xf>
    <xf numFmtId="168" fontId="2" fillId="0" borderId="12" xfId="3" applyNumberFormat="1" applyFont="1" applyFill="1" applyBorder="1" applyAlignment="1">
      <alignment horizontal="center" vertical="center"/>
    </xf>
    <xf numFmtId="2" fontId="2" fillId="9" borderId="32" xfId="0" applyNumberFormat="1" applyFont="1" applyFill="1" applyBorder="1" applyAlignment="1">
      <alignment horizontal="center" vertical="center" wrapText="1"/>
    </xf>
    <xf numFmtId="0" fontId="2" fillId="7" borderId="0" xfId="0" applyFont="1" applyFill="1" applyAlignment="1">
      <alignment horizontal="center"/>
    </xf>
    <xf numFmtId="0" fontId="54" fillId="7" borderId="0" xfId="0" applyFont="1" applyFill="1" applyAlignment="1">
      <alignment horizontal="center"/>
    </xf>
    <xf numFmtId="0" fontId="2" fillId="0" borderId="4" xfId="0" applyFont="1" applyBorder="1" applyAlignment="1">
      <alignment horizontal="center"/>
    </xf>
    <xf numFmtId="0" fontId="2" fillId="9" borderId="4" xfId="0" applyFont="1" applyFill="1" applyBorder="1" applyAlignment="1">
      <alignment horizontal="center"/>
    </xf>
    <xf numFmtId="0" fontId="2" fillId="9" borderId="36" xfId="0" applyFont="1" applyFill="1" applyBorder="1" applyAlignment="1">
      <alignment horizontal="center"/>
    </xf>
    <xf numFmtId="0" fontId="2" fillId="7" borderId="4" xfId="0" applyFont="1" applyFill="1" applyBorder="1" applyAlignment="1">
      <alignment horizontal="center"/>
    </xf>
    <xf numFmtId="0" fontId="2" fillId="4" borderId="5" xfId="0" applyFont="1" applyFill="1" applyBorder="1" applyAlignment="1">
      <alignment horizontal="center"/>
    </xf>
    <xf numFmtId="0" fontId="4" fillId="7" borderId="4" xfId="0" applyFont="1" applyFill="1" applyBorder="1" applyAlignment="1">
      <alignment horizontal="center"/>
    </xf>
    <xf numFmtId="0" fontId="2" fillId="0" borderId="5" xfId="0" applyFont="1" applyBorder="1" applyAlignment="1">
      <alignment horizontal="center"/>
    </xf>
    <xf numFmtId="0" fontId="2" fillId="4" borderId="0" xfId="0" applyFont="1" applyFill="1" applyAlignment="1">
      <alignment horizontal="center"/>
    </xf>
    <xf numFmtId="0" fontId="3" fillId="0" borderId="4" xfId="0" applyFont="1" applyBorder="1" applyAlignment="1">
      <alignment horizontal="center"/>
    </xf>
    <xf numFmtId="0" fontId="51" fillId="9" borderId="2" xfId="0" applyFont="1" applyFill="1" applyBorder="1" applyAlignment="1">
      <alignment horizontal="center" wrapText="1"/>
    </xf>
    <xf numFmtId="0" fontId="2" fillId="4" borderId="4" xfId="0" applyFont="1" applyFill="1" applyBorder="1" applyAlignment="1">
      <alignment horizontal="center"/>
    </xf>
    <xf numFmtId="0" fontId="2" fillId="4" borderId="2" xfId="0" applyFont="1" applyFill="1" applyBorder="1" applyAlignment="1">
      <alignment horizontal="center" wrapText="1"/>
    </xf>
    <xf numFmtId="0" fontId="0" fillId="7" borderId="0" xfId="0" applyFill="1" applyAlignment="1">
      <alignment wrapText="1"/>
    </xf>
    <xf numFmtId="0" fontId="7" fillId="9" borderId="2" xfId="0" applyFont="1" applyFill="1" applyBorder="1" applyAlignment="1">
      <alignment wrapText="1"/>
    </xf>
    <xf numFmtId="0" fontId="2" fillId="7" borderId="4" xfId="0" applyFont="1" applyFill="1" applyBorder="1" applyAlignment="1">
      <alignment wrapText="1"/>
    </xf>
    <xf numFmtId="0" fontId="2" fillId="0" borderId="6" xfId="0" applyFont="1" applyBorder="1" applyAlignment="1">
      <alignment wrapText="1"/>
    </xf>
    <xf numFmtId="0" fontId="14" fillId="7" borderId="2" xfId="0" applyFont="1" applyFill="1" applyBorder="1" applyAlignment="1">
      <alignment wrapText="1"/>
    </xf>
    <xf numFmtId="0" fontId="0" fillId="7" borderId="1" xfId="0" applyFill="1" applyBorder="1" applyAlignment="1">
      <alignment wrapText="1"/>
    </xf>
    <xf numFmtId="0" fontId="8" fillId="9" borderId="2" xfId="0" applyFont="1" applyFill="1" applyBorder="1" applyAlignment="1">
      <alignment wrapText="1"/>
    </xf>
    <xf numFmtId="0" fontId="2" fillId="7" borderId="35" xfId="0" applyFont="1" applyFill="1" applyBorder="1" applyAlignment="1">
      <alignment wrapText="1"/>
    </xf>
    <xf numFmtId="0" fontId="51" fillId="0" borderId="2" xfId="0" applyFont="1" applyBorder="1" applyAlignment="1">
      <alignment horizontal="center" wrapText="1"/>
    </xf>
    <xf numFmtId="0" fontId="51" fillId="7" borderId="2" xfId="0" applyFont="1" applyFill="1" applyBorder="1" applyAlignment="1">
      <alignment horizontal="center" wrapText="1"/>
    </xf>
    <xf numFmtId="0" fontId="51" fillId="4" borderId="2" xfId="0" applyFont="1" applyFill="1" applyBorder="1" applyAlignment="1">
      <alignment horizontal="center" wrapText="1"/>
    </xf>
    <xf numFmtId="0" fontId="52" fillId="7" borderId="2" xfId="0" applyFont="1" applyFill="1" applyBorder="1" applyAlignment="1">
      <alignment horizontal="center" wrapText="1"/>
    </xf>
    <xf numFmtId="0" fontId="2" fillId="9" borderId="2" xfId="0" applyFont="1" applyFill="1" applyBorder="1" applyAlignment="1">
      <alignment horizontal="center" wrapText="1"/>
    </xf>
    <xf numFmtId="0" fontId="53" fillId="0" borderId="2" xfId="0" applyFont="1" applyBorder="1" applyAlignment="1">
      <alignment horizontal="center" wrapText="1"/>
    </xf>
    <xf numFmtId="0" fontId="55" fillId="0" borderId="2" xfId="0" applyFont="1" applyBorder="1" applyAlignment="1">
      <alignment horizontal="center" wrapText="1"/>
    </xf>
    <xf numFmtId="0" fontId="0" fillId="0" borderId="2" xfId="0" applyBorder="1" applyAlignment="1">
      <alignment wrapText="1"/>
    </xf>
    <xf numFmtId="0" fontId="54" fillId="7" borderId="2" xfId="0" applyFont="1" applyFill="1" applyBorder="1" applyAlignment="1">
      <alignment horizontal="center" wrapText="1"/>
    </xf>
    <xf numFmtId="0" fontId="59" fillId="0" borderId="40" xfId="0" applyFont="1" applyBorder="1" applyAlignment="1">
      <alignment vertical="center" wrapText="1"/>
    </xf>
    <xf numFmtId="0" fontId="10" fillId="4" borderId="2" xfId="0" applyFont="1" applyFill="1" applyBorder="1" applyAlignment="1">
      <alignment horizontal="left" wrapText="1"/>
    </xf>
    <xf numFmtId="0" fontId="19" fillId="4" borderId="4" xfId="0" applyFont="1" applyFill="1" applyBorder="1" applyAlignment="1">
      <alignment horizontal="center" wrapText="1"/>
    </xf>
    <xf numFmtId="0" fontId="19" fillId="4" borderId="2" xfId="0" applyFont="1" applyFill="1" applyBorder="1" applyAlignment="1">
      <alignment horizontal="center" wrapText="1"/>
    </xf>
    <xf numFmtId="0" fontId="57" fillId="4" borderId="2" xfId="0" applyFont="1" applyFill="1" applyBorder="1" applyAlignment="1">
      <alignment horizontal="center"/>
    </xf>
    <xf numFmtId="0" fontId="2" fillId="9" borderId="6" xfId="0" applyFont="1" applyFill="1" applyBorder="1" applyAlignment="1">
      <alignment wrapText="1"/>
    </xf>
    <xf numFmtId="2" fontId="2" fillId="3" borderId="2" xfId="0" applyNumberFormat="1" applyFont="1" applyFill="1" applyBorder="1"/>
    <xf numFmtId="168" fontId="2" fillId="3" borderId="2" xfId="0" applyNumberFormat="1" applyFont="1" applyFill="1" applyBorder="1" applyAlignment="1">
      <alignment horizontal="right"/>
    </xf>
    <xf numFmtId="168" fontId="2" fillId="3" borderId="2" xfId="0" applyNumberFormat="1" applyFont="1" applyFill="1" applyBorder="1"/>
    <xf numFmtId="1" fontId="2" fillId="3" borderId="2" xfId="0" applyNumberFormat="1" applyFont="1" applyFill="1" applyBorder="1"/>
    <xf numFmtId="0" fontId="6" fillId="4" borderId="2" xfId="0" applyFont="1" applyFill="1" applyBorder="1" applyAlignment="1">
      <alignment horizontal="center" wrapText="1"/>
    </xf>
    <xf numFmtId="2" fontId="2" fillId="2" borderId="6" xfId="0" applyNumberFormat="1" applyFont="1" applyFill="1" applyBorder="1"/>
    <xf numFmtId="10" fontId="4" fillId="2" borderId="2" xfId="0" applyNumberFormat="1" applyFont="1" applyFill="1" applyBorder="1"/>
    <xf numFmtId="168" fontId="2" fillId="9" borderId="2" xfId="0" applyNumberFormat="1" applyFont="1" applyFill="1" applyBorder="1" applyAlignment="1">
      <alignment horizontal="right"/>
    </xf>
    <xf numFmtId="10" fontId="2" fillId="2" borderId="2" xfId="0" applyNumberFormat="1" applyFont="1" applyFill="1" applyBorder="1"/>
    <xf numFmtId="9" fontId="2" fillId="2" borderId="2" xfId="0" applyNumberFormat="1" applyFont="1" applyFill="1" applyBorder="1"/>
    <xf numFmtId="1" fontId="2" fillId="3" borderId="10" xfId="0" applyNumberFormat="1" applyFont="1" applyFill="1" applyBorder="1"/>
    <xf numFmtId="1" fontId="2" fillId="2" borderId="10" xfId="0" applyNumberFormat="1" applyFont="1" applyFill="1" applyBorder="1" applyAlignment="1">
      <alignment horizontal="right"/>
    </xf>
    <xf numFmtId="1" fontId="2" fillId="2" borderId="2" xfId="0" applyNumberFormat="1" applyFont="1" applyFill="1" applyBorder="1"/>
    <xf numFmtId="1" fontId="2" fillId="2" borderId="10" xfId="0" applyNumberFormat="1" applyFont="1" applyFill="1" applyBorder="1"/>
    <xf numFmtId="1" fontId="2" fillId="9" borderId="2" xfId="3" applyNumberFormat="1" applyFont="1" applyFill="1" applyBorder="1" applyAlignment="1">
      <alignment horizontal="right"/>
    </xf>
    <xf numFmtId="1" fontId="2" fillId="2" borderId="2" xfId="0" applyNumberFormat="1" applyFont="1" applyFill="1" applyBorder="1" applyAlignment="1">
      <alignment horizontal="right"/>
    </xf>
    <xf numFmtId="1" fontId="3" fillId="2" borderId="2" xfId="0" applyNumberFormat="1" applyFont="1" applyFill="1" applyBorder="1"/>
    <xf numFmtId="0" fontId="58" fillId="10" borderId="36" xfId="0" applyFont="1" applyFill="1" applyBorder="1" applyAlignment="1">
      <alignment horizontal="right" wrapText="1"/>
    </xf>
    <xf numFmtId="44" fontId="58" fillId="11" borderId="2" xfId="0" applyNumberFormat="1" applyFont="1" applyFill="1" applyBorder="1" applyAlignment="1">
      <alignment horizontal="right"/>
    </xf>
    <xf numFmtId="0" fontId="2" fillId="7" borderId="3" xfId="0" applyFont="1" applyFill="1" applyBorder="1" applyAlignment="1">
      <alignment wrapText="1"/>
    </xf>
    <xf numFmtId="44" fontId="4" fillId="10" borderId="4" xfId="0" applyNumberFormat="1" applyFont="1" applyFill="1" applyBorder="1" applyAlignment="1">
      <alignment wrapText="1"/>
    </xf>
    <xf numFmtId="0" fontId="0" fillId="11" borderId="5" xfId="0" applyFill="1" applyBorder="1"/>
    <xf numFmtId="0" fontId="28" fillId="11" borderId="6" xfId="0" applyFont="1" applyFill="1" applyBorder="1" applyAlignment="1">
      <alignment horizontal="center" wrapText="1"/>
    </xf>
    <xf numFmtId="168" fontId="2" fillId="2" borderId="2" xfId="2" applyNumberFormat="1" applyFont="1" applyFill="1" applyBorder="1" applyAlignment="1">
      <alignment horizontal="right"/>
    </xf>
    <xf numFmtId="0" fontId="56" fillId="3" borderId="2" xfId="0" applyFont="1" applyFill="1" applyBorder="1" applyAlignment="1">
      <alignment vertical="center"/>
    </xf>
    <xf numFmtId="0" fontId="16" fillId="2" borderId="2" xfId="0" applyFont="1" applyFill="1" applyBorder="1" applyAlignment="1">
      <alignment vertical="center" wrapText="1"/>
    </xf>
    <xf numFmtId="0" fontId="16" fillId="6" borderId="2" xfId="0" applyFont="1" applyFill="1" applyBorder="1" applyAlignment="1">
      <alignment vertical="center"/>
    </xf>
    <xf numFmtId="0" fontId="16" fillId="9" borderId="2" xfId="0" applyFont="1" applyFill="1" applyBorder="1" applyAlignment="1">
      <alignment vertical="center"/>
    </xf>
    <xf numFmtId="0" fontId="2" fillId="2" borderId="2" xfId="0" applyFont="1" applyFill="1" applyBorder="1" applyAlignment="1">
      <alignment wrapText="1"/>
    </xf>
    <xf numFmtId="0" fontId="2" fillId="0" borderId="36" xfId="0" applyFont="1" applyBorder="1"/>
    <xf numFmtId="168" fontId="2" fillId="3" borderId="12" xfId="3" applyNumberFormat="1" applyFont="1" applyFill="1" applyBorder="1" applyAlignment="1">
      <alignment horizontal="center"/>
    </xf>
    <xf numFmtId="168" fontId="2" fillId="3" borderId="12" xfId="3" applyNumberFormat="1" applyFont="1" applyFill="1" applyBorder="1" applyAlignment="1">
      <alignment horizontal="center" vertical="center"/>
    </xf>
    <xf numFmtId="168" fontId="2" fillId="0" borderId="11" xfId="3" applyNumberFormat="1" applyFont="1" applyBorder="1" applyAlignment="1">
      <alignment horizontal="center" vertical="top"/>
    </xf>
    <xf numFmtId="168" fontId="2" fillId="0" borderId="11" xfId="3" applyNumberFormat="1" applyFont="1" applyBorder="1" applyAlignment="1">
      <alignment horizontal="center" vertical="center"/>
    </xf>
    <xf numFmtId="168" fontId="2" fillId="3" borderId="11" xfId="3" applyNumberFormat="1" applyFont="1" applyFill="1" applyBorder="1" applyAlignment="1">
      <alignment horizontal="center" vertical="center"/>
    </xf>
    <xf numFmtId="168" fontId="2" fillId="3" borderId="11" xfId="3" applyNumberFormat="1" applyFont="1" applyFill="1" applyBorder="1" applyAlignment="1">
      <alignment horizontal="center"/>
    </xf>
    <xf numFmtId="168" fontId="2" fillId="3" borderId="11" xfId="3" applyNumberFormat="1" applyFont="1" applyFill="1" applyBorder="1" applyAlignment="1">
      <alignment horizontal="center" vertical="top"/>
    </xf>
    <xf numFmtId="168" fontId="6" fillId="9" borderId="11" xfId="3" applyNumberFormat="1" applyFont="1" applyFill="1" applyBorder="1" applyAlignment="1">
      <alignment horizontal="center" vertical="center"/>
    </xf>
    <xf numFmtId="168" fontId="2" fillId="9" borderId="12" xfId="3" applyNumberFormat="1" applyFont="1" applyFill="1" applyBorder="1" applyAlignment="1">
      <alignment horizontal="center" vertical="center"/>
    </xf>
    <xf numFmtId="1" fontId="2" fillId="13" borderId="0" xfId="3" applyNumberFormat="1" applyFont="1" applyFill="1" applyAlignment="1">
      <alignment horizontal="center" vertical="top"/>
    </xf>
    <xf numFmtId="164" fontId="2" fillId="13" borderId="0" xfId="3" applyNumberFormat="1" applyFont="1" applyFill="1" applyAlignment="1">
      <alignment horizontal="center"/>
    </xf>
    <xf numFmtId="164" fontId="2" fillId="13" borderId="0" xfId="3" applyNumberFormat="1" applyFont="1" applyFill="1" applyAlignment="1">
      <alignment horizontal="center" vertical="top"/>
    </xf>
    <xf numFmtId="9" fontId="2" fillId="2" borderId="6" xfId="2" applyFont="1" applyFill="1" applyBorder="1" applyAlignment="1"/>
    <xf numFmtId="168" fontId="2" fillId="2" borderId="2" xfId="0" applyNumberFormat="1" applyFont="1" applyFill="1" applyBorder="1" applyAlignment="1">
      <alignment horizontal="right"/>
    </xf>
    <xf numFmtId="168" fontId="2" fillId="3" borderId="10" xfId="0" applyNumberFormat="1" applyFont="1" applyFill="1" applyBorder="1" applyAlignment="1">
      <alignment horizontal="right"/>
    </xf>
    <xf numFmtId="168" fontId="2" fillId="8" borderId="2" xfId="0" applyNumberFormat="1" applyFont="1" applyFill="1" applyBorder="1" applyAlignment="1">
      <alignment horizontal="right"/>
    </xf>
    <xf numFmtId="1" fontId="2" fillId="8" borderId="2" xfId="0" applyNumberFormat="1" applyFont="1" applyFill="1" applyBorder="1" applyAlignment="1">
      <alignment horizontal="right"/>
    </xf>
    <xf numFmtId="168" fontId="2" fillId="3" borderId="2" xfId="0" applyNumberFormat="1" applyFont="1" applyFill="1" applyBorder="1" applyAlignment="1">
      <alignment horizontal="center"/>
    </xf>
    <xf numFmtId="1" fontId="2" fillId="12" borderId="2" xfId="0" applyNumberFormat="1" applyFont="1" applyFill="1" applyBorder="1" applyAlignment="1">
      <alignment horizontal="right"/>
    </xf>
    <xf numFmtId="1" fontId="2" fillId="12" borderId="2" xfId="0" applyNumberFormat="1" applyFont="1" applyFill="1" applyBorder="1"/>
    <xf numFmtId="1" fontId="2" fillId="0" borderId="0" xfId="0" applyNumberFormat="1" applyFont="1" applyAlignment="1">
      <alignment vertical="top"/>
    </xf>
    <xf numFmtId="0" fontId="6" fillId="9" borderId="38" xfId="0" applyFont="1" applyFill="1" applyBorder="1" applyAlignment="1">
      <alignment horizontal="center" vertical="center"/>
    </xf>
    <xf numFmtId="1" fontId="6" fillId="9" borderId="38" xfId="3" applyNumberFormat="1" applyFont="1" applyFill="1" applyBorder="1" applyAlignment="1">
      <alignment horizontal="center" vertical="center"/>
    </xf>
    <xf numFmtId="0" fontId="20" fillId="13" borderId="4" xfId="0" applyFont="1" applyFill="1" applyBorder="1" applyAlignment="1">
      <alignment vertical="center"/>
    </xf>
    <xf numFmtId="0" fontId="6" fillId="13" borderId="5" xfId="0" applyFont="1" applyFill="1" applyBorder="1" applyAlignment="1">
      <alignment vertical="center"/>
    </xf>
    <xf numFmtId="168" fontId="6" fillId="13" borderId="2" xfId="3" applyNumberFormat="1" applyFont="1" applyFill="1" applyBorder="1" applyAlignment="1">
      <alignment horizontal="center" vertical="center"/>
    </xf>
    <xf numFmtId="0" fontId="11" fillId="4" borderId="25" xfId="0" applyFont="1" applyFill="1" applyBorder="1" applyAlignment="1">
      <alignment horizontal="center" vertical="center" wrapText="1"/>
    </xf>
    <xf numFmtId="1" fontId="7" fillId="3" borderId="2" xfId="3" applyNumberFormat="1" applyFont="1" applyFill="1" applyBorder="1" applyAlignment="1">
      <alignment horizontal="center" vertical="center" wrapText="1"/>
    </xf>
    <xf numFmtId="1" fontId="2" fillId="3" borderId="12" xfId="3" applyNumberFormat="1" applyFont="1" applyFill="1" applyBorder="1" applyAlignment="1">
      <alignment horizontal="center" vertical="top"/>
    </xf>
    <xf numFmtId="1" fontId="2" fillId="3" borderId="11" xfId="3" applyNumberFormat="1" applyFont="1" applyFill="1" applyBorder="1" applyAlignment="1">
      <alignment horizontal="center" vertical="top"/>
    </xf>
    <xf numFmtId="1" fontId="2" fillId="3" borderId="0" xfId="0" applyNumberFormat="1" applyFont="1" applyFill="1" applyAlignment="1">
      <alignment vertical="top"/>
    </xf>
    <xf numFmtId="168" fontId="2" fillId="12" borderId="10" xfId="0" applyNumberFormat="1" applyFont="1" applyFill="1" applyBorder="1" applyAlignment="1">
      <alignment horizontal="right"/>
    </xf>
    <xf numFmtId="168" fontId="2" fillId="12" borderId="2" xfId="0" applyNumberFormat="1" applyFont="1" applyFill="1" applyBorder="1" applyAlignment="1">
      <alignment horizontal="right"/>
    </xf>
    <xf numFmtId="9" fontId="2" fillId="12" borderId="2" xfId="2" applyFont="1" applyFill="1" applyBorder="1" applyAlignment="1">
      <alignment horizontal="right"/>
    </xf>
    <xf numFmtId="0" fontId="2" fillId="12" borderId="2" xfId="0" applyFont="1" applyFill="1" applyBorder="1" applyAlignment="1">
      <alignment wrapText="1"/>
    </xf>
    <xf numFmtId="44" fontId="2" fillId="8" borderId="2" xfId="0" applyNumberFormat="1" applyFont="1" applyFill="1" applyBorder="1" applyAlignment="1">
      <alignment horizontal="right"/>
    </xf>
    <xf numFmtId="44" fontId="3" fillId="9" borderId="2" xfId="0" applyNumberFormat="1" applyFont="1" applyFill="1" applyBorder="1" applyAlignment="1">
      <alignment horizontal="right"/>
    </xf>
    <xf numFmtId="44" fontId="58" fillId="10" borderId="0" xfId="0" applyNumberFormat="1" applyFont="1" applyFill="1"/>
    <xf numFmtId="0" fontId="28" fillId="0" borderId="0" xfId="0" applyFont="1"/>
    <xf numFmtId="0" fontId="3" fillId="0" borderId="2" xfId="0" applyFont="1" applyBorder="1" applyAlignment="1">
      <alignment wrapText="1"/>
    </xf>
    <xf numFmtId="2" fontId="4" fillId="3" borderId="2" xfId="0" applyNumberFormat="1" applyFont="1" applyFill="1" applyBorder="1" applyAlignment="1">
      <alignment horizontal="right"/>
    </xf>
    <xf numFmtId="2" fontId="4" fillId="3" borderId="2" xfId="0" applyNumberFormat="1" applyFont="1" applyFill="1" applyBorder="1"/>
    <xf numFmtId="0" fontId="3" fillId="3" borderId="2" xfId="0" applyFont="1" applyFill="1" applyBorder="1" applyAlignment="1">
      <alignment wrapText="1"/>
    </xf>
    <xf numFmtId="0" fontId="3" fillId="3" borderId="4" xfId="0" applyFont="1" applyFill="1" applyBorder="1" applyAlignment="1">
      <alignment horizontal="center"/>
    </xf>
    <xf numFmtId="0" fontId="55" fillId="3" borderId="2" xfId="0" applyFont="1" applyFill="1" applyBorder="1" applyAlignment="1">
      <alignment horizontal="center" wrapText="1"/>
    </xf>
    <xf numFmtId="1" fontId="2" fillId="9" borderId="10" xfId="0" applyNumberFormat="1" applyFont="1" applyFill="1" applyBorder="1" applyAlignment="1">
      <alignment horizontal="right"/>
    </xf>
    <xf numFmtId="1" fontId="2" fillId="9" borderId="10" xfId="0" applyNumberFormat="1" applyFont="1" applyFill="1" applyBorder="1"/>
    <xf numFmtId="0" fontId="11" fillId="0" borderId="26" xfId="0" applyFont="1" applyBorder="1" applyAlignment="1">
      <alignment horizontal="center" wrapText="1"/>
    </xf>
    <xf numFmtId="0" fontId="2" fillId="0" borderId="43" xfId="0" applyFont="1" applyBorder="1"/>
    <xf numFmtId="0" fontId="2" fillId="2" borderId="18" xfId="0" applyFont="1" applyFill="1" applyBorder="1"/>
    <xf numFmtId="0" fontId="2" fillId="0" borderId="18" xfId="0" applyFont="1" applyBorder="1"/>
    <xf numFmtId="0" fontId="3" fillId="0" borderId="18" xfId="0" applyFont="1" applyBorder="1"/>
    <xf numFmtId="0" fontId="2" fillId="2" borderId="45" xfId="0" applyFont="1" applyFill="1" applyBorder="1"/>
    <xf numFmtId="0" fontId="61" fillId="4" borderId="2" xfId="0" applyFont="1" applyFill="1" applyBorder="1" applyAlignment="1">
      <alignment horizontal="center" vertical="center" wrapText="1"/>
    </xf>
    <xf numFmtId="0" fontId="63" fillId="7" borderId="47" xfId="0" applyFont="1" applyFill="1" applyBorder="1" applyAlignment="1">
      <alignment horizontal="center" vertical="center" wrapText="1"/>
    </xf>
    <xf numFmtId="0" fontId="58" fillId="7" borderId="47" xfId="0" applyFont="1" applyFill="1" applyBorder="1" applyAlignment="1">
      <alignment horizontal="left" vertical="center" wrapText="1"/>
    </xf>
    <xf numFmtId="0" fontId="6" fillId="2" borderId="39" xfId="0" applyFont="1" applyFill="1" applyBorder="1" applyAlignment="1">
      <alignment horizontal="right" vertical="center"/>
    </xf>
    <xf numFmtId="44" fontId="6" fillId="2" borderId="19" xfId="0" applyNumberFormat="1" applyFont="1" applyFill="1" applyBorder="1" applyAlignment="1">
      <alignment horizontal="right" vertical="center"/>
    </xf>
    <xf numFmtId="44" fontId="6" fillId="2" borderId="24" xfId="0" applyNumberFormat="1" applyFont="1" applyFill="1" applyBorder="1" applyAlignment="1">
      <alignment horizontal="right" vertical="center"/>
    </xf>
    <xf numFmtId="0" fontId="2" fillId="0" borderId="26"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43" fontId="2" fillId="0" borderId="12" xfId="3" applyFont="1" applyBorder="1" applyAlignment="1">
      <alignment vertical="center"/>
    </xf>
    <xf numFmtId="43" fontId="2" fillId="5" borderId="12" xfId="3" applyFont="1" applyFill="1" applyBorder="1" applyAlignment="1">
      <alignment horizontal="center" vertical="center" wrapText="1"/>
    </xf>
    <xf numFmtId="43" fontId="2" fillId="0" borderId="31" xfId="3" applyFont="1" applyBorder="1" applyAlignment="1">
      <alignment vertical="center"/>
    </xf>
    <xf numFmtId="43" fontId="2" fillId="0" borderId="29" xfId="3" applyFont="1" applyBorder="1" applyAlignment="1">
      <alignment vertical="center"/>
    </xf>
    <xf numFmtId="43" fontId="2" fillId="0" borderId="11" xfId="3" applyFont="1" applyBorder="1" applyAlignment="1">
      <alignment vertical="center"/>
    </xf>
    <xf numFmtId="43" fontId="2" fillId="0" borderId="22" xfId="3" applyFont="1" applyBorder="1" applyAlignment="1">
      <alignment vertical="center"/>
    </xf>
    <xf numFmtId="43" fontId="2" fillId="0" borderId="28" xfId="3" applyFont="1" applyBorder="1" applyAlignment="1">
      <alignment vertical="center"/>
    </xf>
    <xf numFmtId="43" fontId="2" fillId="0" borderId="21" xfId="3" applyFont="1" applyBorder="1" applyAlignment="1">
      <alignment vertical="center"/>
    </xf>
    <xf numFmtId="43" fontId="2" fillId="0" borderId="23" xfId="3" applyFont="1" applyBorder="1" applyAlignment="1">
      <alignment vertical="center"/>
    </xf>
    <xf numFmtId="43" fontId="2" fillId="0" borderId="11" xfId="3" applyFont="1" applyBorder="1"/>
    <xf numFmtId="43" fontId="0" fillId="0" borderId="11" xfId="3" applyFont="1" applyBorder="1"/>
    <xf numFmtId="43" fontId="0" fillId="0" borderId="44" xfId="3" applyFont="1" applyBorder="1"/>
    <xf numFmtId="43" fontId="2" fillId="0" borderId="44" xfId="3" applyFont="1" applyBorder="1"/>
    <xf numFmtId="43" fontId="2" fillId="2" borderId="12" xfId="3" applyFont="1" applyFill="1" applyBorder="1"/>
    <xf numFmtId="43" fontId="2" fillId="2" borderId="42" xfId="3" applyFont="1" applyFill="1" applyBorder="1"/>
    <xf numFmtId="43" fontId="2" fillId="0" borderId="11" xfId="3" applyFont="1" applyFill="1" applyBorder="1"/>
    <xf numFmtId="43" fontId="2" fillId="0" borderId="44" xfId="3" applyFont="1" applyFill="1" applyBorder="1"/>
    <xf numFmtId="43" fontId="2" fillId="2" borderId="11" xfId="3" applyFont="1" applyFill="1" applyBorder="1"/>
    <xf numFmtId="43" fontId="2" fillId="2" borderId="44" xfId="3" applyFont="1" applyFill="1" applyBorder="1"/>
    <xf numFmtId="43" fontId="2" fillId="2" borderId="38" xfId="3" applyFont="1" applyFill="1" applyBorder="1"/>
    <xf numFmtId="43" fontId="2" fillId="2" borderId="46" xfId="3" applyFont="1" applyFill="1" applyBorder="1"/>
    <xf numFmtId="0" fontId="20" fillId="9" borderId="4" xfId="0" applyFont="1" applyFill="1" applyBorder="1" applyAlignment="1">
      <alignment horizontal="right" vertical="center"/>
    </xf>
    <xf numFmtId="44" fontId="65" fillId="9" borderId="48" xfId="0" applyNumberFormat="1" applyFont="1" applyFill="1" applyBorder="1" applyAlignment="1">
      <alignment horizontal="right" vertical="center"/>
    </xf>
    <xf numFmtId="0" fontId="62" fillId="0" borderId="0" xfId="0" applyFont="1" applyAlignment="1">
      <alignment wrapText="1"/>
    </xf>
    <xf numFmtId="0" fontId="63" fillId="7" borderId="49" xfId="0" applyFont="1" applyFill="1" applyBorder="1" applyAlignment="1">
      <alignment horizontal="center" vertical="center" wrapText="1"/>
    </xf>
    <xf numFmtId="0" fontId="30" fillId="12" borderId="0" xfId="0" applyFont="1" applyFill="1" applyAlignment="1">
      <alignment horizontal="center"/>
    </xf>
    <xf numFmtId="166" fontId="39" fillId="5" borderId="0" xfId="0" applyNumberFormat="1" applyFont="1" applyFill="1" applyAlignment="1">
      <alignment horizontal="center" vertical="center"/>
    </xf>
    <xf numFmtId="0" fontId="18" fillId="12" borderId="0" xfId="0" applyFont="1" applyFill="1" applyAlignment="1">
      <alignment horizontal="center"/>
    </xf>
    <xf numFmtId="166" fontId="39" fillId="12" borderId="0" xfId="0" applyNumberFormat="1" applyFont="1" applyFill="1" applyAlignment="1">
      <alignment horizontal="center" vertical="center"/>
    </xf>
    <xf numFmtId="0" fontId="18" fillId="5" borderId="0" xfId="0" applyFont="1" applyFill="1" applyAlignment="1">
      <alignment horizontal="center"/>
    </xf>
    <xf numFmtId="0" fontId="62" fillId="0" borderId="0" xfId="0" applyFont="1" applyAlignment="1">
      <alignment horizontal="center" wrapText="1"/>
    </xf>
    <xf numFmtId="0" fontId="3" fillId="0" borderId="10" xfId="0" applyFont="1" applyBorder="1" applyAlignment="1">
      <alignment horizontal="center" vertical="center" wrapText="1"/>
    </xf>
    <xf numFmtId="0" fontId="6" fillId="0" borderId="0" xfId="0" applyFont="1" applyAlignment="1">
      <alignment horizontal="center" vertical="center" textRotation="90" wrapText="1"/>
    </xf>
    <xf numFmtId="0" fontId="0" fillId="9" borderId="0" xfId="0" applyFill="1" applyAlignment="1">
      <alignment wrapText="1"/>
    </xf>
    <xf numFmtId="0" fontId="6" fillId="9" borderId="0" xfId="0" applyFont="1" applyFill="1" applyAlignment="1">
      <alignment horizontal="center" textRotation="90" wrapText="1"/>
    </xf>
    <xf numFmtId="0" fontId="6" fillId="9" borderId="10" xfId="0" applyFont="1" applyFill="1" applyBorder="1" applyAlignment="1">
      <alignment textRotation="90" wrapText="1"/>
    </xf>
    <xf numFmtId="0" fontId="6" fillId="9" borderId="0" xfId="0" applyFont="1" applyFill="1" applyAlignment="1">
      <alignment textRotation="90" wrapText="1"/>
    </xf>
    <xf numFmtId="0" fontId="6" fillId="9" borderId="2" xfId="0" applyFont="1" applyFill="1" applyBorder="1" applyAlignment="1">
      <alignment textRotation="90" wrapText="1"/>
    </xf>
    <xf numFmtId="0" fontId="6" fillId="9" borderId="9" xfId="0" applyFont="1" applyFill="1" applyBorder="1" applyAlignment="1">
      <alignment vertical="center" textRotation="90" wrapText="1"/>
    </xf>
    <xf numFmtId="0" fontId="6" fillId="9" borderId="0" xfId="0" applyFont="1" applyFill="1" applyAlignment="1">
      <alignment vertical="center" textRotation="90" wrapText="1"/>
    </xf>
    <xf numFmtId="0" fontId="0" fillId="7" borderId="0" xfId="0" applyFill="1" applyAlignment="1">
      <alignment vertical="center" wrapText="1"/>
    </xf>
    <xf numFmtId="0" fontId="0" fillId="11" borderId="0" xfId="0" applyFill="1" applyAlignment="1">
      <alignment wrapText="1"/>
    </xf>
    <xf numFmtId="0" fontId="28" fillId="0" borderId="0" xfId="0" applyFont="1" applyAlignment="1" applyProtection="1">
      <alignment horizontal="center" vertical="center" wrapText="1"/>
      <protection locked="0"/>
    </xf>
    <xf numFmtId="0" fontId="30" fillId="12" borderId="0" xfId="0" applyFont="1" applyFill="1" applyAlignment="1">
      <alignment horizontal="center"/>
    </xf>
    <xf numFmtId="0" fontId="0" fillId="12" borderId="0" xfId="0" applyFill="1" applyAlignment="1">
      <alignment horizontal="center"/>
    </xf>
    <xf numFmtId="4" fontId="31" fillId="12" borderId="0" xfId="0" applyNumberFormat="1" applyFont="1" applyFill="1" applyAlignment="1">
      <alignment horizontal="center" vertical="center"/>
    </xf>
    <xf numFmtId="4" fontId="32" fillId="12" borderId="0" xfId="0" applyNumberFormat="1" applyFont="1" applyFill="1" applyAlignment="1">
      <alignment horizontal="center" vertical="center"/>
    </xf>
    <xf numFmtId="0" fontId="18" fillId="12" borderId="0" xfId="0" applyFont="1" applyFill="1" applyAlignment="1">
      <alignment horizontal="center"/>
    </xf>
    <xf numFmtId="166" fontId="39" fillId="12" borderId="0" xfId="0" applyNumberFormat="1" applyFont="1" applyFill="1" applyAlignment="1">
      <alignment horizontal="center" vertical="center"/>
    </xf>
    <xf numFmtId="0" fontId="0" fillId="12" borderId="0" xfId="0" applyFill="1" applyAlignment="1">
      <alignment horizontal="center" vertical="center"/>
    </xf>
    <xf numFmtId="0" fontId="18" fillId="5" borderId="0" xfId="0" applyFont="1" applyFill="1" applyAlignment="1">
      <alignment horizontal="center"/>
    </xf>
    <xf numFmtId="0" fontId="30" fillId="0" borderId="0" xfId="0" applyFont="1" applyAlignment="1">
      <alignment horizontal="center"/>
    </xf>
    <xf numFmtId="165" fontId="43" fillId="4" borderId="0" xfId="0" applyNumberFormat="1" applyFont="1" applyFill="1" applyAlignment="1">
      <alignment horizontal="center" vertical="center"/>
    </xf>
    <xf numFmtId="0" fontId="30" fillId="5" borderId="0" xfId="0" applyFont="1" applyFill="1" applyAlignment="1">
      <alignment horizontal="center"/>
    </xf>
    <xf numFmtId="166" fontId="39" fillId="5" borderId="0" xfId="0" applyNumberFormat="1" applyFont="1" applyFill="1" applyAlignment="1">
      <alignment horizontal="center" vertical="center"/>
    </xf>
    <xf numFmtId="0" fontId="0" fillId="5" borderId="0" xfId="0" applyFill="1" applyAlignment="1">
      <alignment horizontal="center" vertical="center"/>
    </xf>
    <xf numFmtId="0" fontId="45" fillId="12" borderId="0" xfId="0" applyFont="1" applyFill="1" applyAlignment="1">
      <alignment horizontal="center"/>
    </xf>
    <xf numFmtId="165" fontId="31" fillId="12" borderId="0" xfId="0" applyNumberFormat="1" applyFont="1" applyFill="1" applyAlignment="1">
      <alignment horizontal="center" vertical="center"/>
    </xf>
    <xf numFmtId="0" fontId="50" fillId="0" borderId="0" xfId="0" applyFont="1" applyAlignment="1">
      <alignment horizontal="center" vertical="center" wrapText="1"/>
    </xf>
    <xf numFmtId="167" fontId="43" fillId="4" borderId="0" xfId="0" applyNumberFormat="1" applyFont="1" applyFill="1" applyAlignment="1">
      <alignment horizontal="center" vertical="center"/>
    </xf>
    <xf numFmtId="0" fontId="62" fillId="0" borderId="0" xfId="0" applyFont="1" applyAlignment="1">
      <alignment horizontal="center" wrapText="1"/>
    </xf>
    <xf numFmtId="0" fontId="61" fillId="0" borderId="0" xfId="0" applyFont="1" applyAlignment="1">
      <alignment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0" xfId="0" applyFont="1" applyFill="1" applyAlignment="1">
      <alignment horizontal="center" vertical="center" wrapText="1"/>
    </xf>
    <xf numFmtId="0" fontId="2" fillId="9" borderId="3"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0" xfId="0" applyFont="1" applyFill="1" applyBorder="1" applyAlignment="1">
      <alignment horizontal="center" vertical="center"/>
    </xf>
    <xf numFmtId="0" fontId="6" fillId="3" borderId="4" xfId="0" applyFont="1" applyFill="1" applyBorder="1" applyAlignment="1">
      <alignment horizontal="left" vertical="center" wrapText="1"/>
    </xf>
    <xf numFmtId="0" fontId="6" fillId="3" borderId="5" xfId="0" applyFont="1" applyFill="1" applyBorder="1" applyAlignment="1">
      <alignment wrapText="1"/>
    </xf>
    <xf numFmtId="0" fontId="6" fillId="3" borderId="6" xfId="0" applyFont="1" applyFill="1" applyBorder="1" applyAlignment="1">
      <alignment wrapTex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0" fillId="4" borderId="30" xfId="0" applyFont="1" applyFill="1" applyBorder="1" applyAlignment="1">
      <alignment horizontal="center" vertical="center" wrapText="1"/>
    </xf>
    <xf numFmtId="0" fontId="60" fillId="0" borderId="41"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6" xfId="0" applyFont="1" applyBorder="1" applyAlignment="1">
      <alignment horizontal="center" vertical="center" wrapText="1"/>
    </xf>
    <xf numFmtId="0" fontId="60" fillId="0" borderId="0" xfId="0" applyFont="1" applyAlignment="1">
      <alignment horizontal="center" vertical="center" wrapText="1"/>
    </xf>
    <xf numFmtId="0" fontId="60" fillId="0" borderId="8" xfId="0" applyFont="1" applyBorder="1" applyAlignment="1">
      <alignment horizontal="center" vertical="center" wrapText="1"/>
    </xf>
    <xf numFmtId="0" fontId="60" fillId="0" borderId="35"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9" xfId="0" applyFont="1" applyBorder="1" applyAlignment="1">
      <alignment horizontal="center" vertical="center" wrapText="1"/>
    </xf>
    <xf numFmtId="0" fontId="10" fillId="4" borderId="3" xfId="0" applyFont="1" applyFill="1"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6" fillId="0" borderId="8"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0"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25" xfId="0" applyFont="1" applyBorder="1" applyAlignment="1">
      <alignment horizontal="center" vertical="center" textRotation="90" wrapText="1"/>
    </xf>
  </cellXfs>
  <cellStyles count="4">
    <cellStyle name="Comma" xfId="3" builtinId="3"/>
    <cellStyle name="Currency" xfId="1" builtinId="4"/>
    <cellStyle name="Normal" xfId="0" builtinId="0"/>
    <cellStyle name="Percent" xfId="2" builtinId="5"/>
  </cellStyles>
  <dxfs count="9">
    <dxf>
      <font>
        <color rgb="FF006100"/>
      </font>
      <fill>
        <patternFill>
          <bgColor rgb="FFC6EF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numFmt numFmtId="169" formatCode="\-"/>
    </dxf>
  </dxfs>
  <tableStyles count="0" defaultTableStyle="TableStyleMedium2" defaultPivotStyle="PivotStyleLight16"/>
  <colors>
    <mruColors>
      <color rgb="FFCC99FF"/>
      <color rgb="FFE2EFDA"/>
      <color rgb="FFECF4FA"/>
      <color rgb="FFFF7C80"/>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ED3-44BC-9DDC-8F9FEA9A13B3}"/>
              </c:ext>
            </c:extLst>
          </c:dPt>
          <c:dPt>
            <c:idx val="1"/>
            <c:bubble3D val="0"/>
            <c:spPr>
              <a:solidFill>
                <a:schemeClr val="accent2"/>
              </a:solidFill>
              <a:ln w="19050">
                <a:noFill/>
              </a:ln>
              <a:effectLst/>
            </c:spPr>
            <c:extLst>
              <c:ext xmlns:c16="http://schemas.microsoft.com/office/drawing/2014/chart" uri="{C3380CC4-5D6E-409C-BE32-E72D297353CC}">
                <c16:uniqueId val="{00000003-7ED3-44BC-9DDC-8F9FEA9A13B3}"/>
              </c:ext>
            </c:extLst>
          </c:dPt>
          <c:dPt>
            <c:idx val="2"/>
            <c:bubble3D val="0"/>
            <c:spPr>
              <a:solidFill>
                <a:schemeClr val="accent3"/>
              </a:solidFill>
              <a:ln w="19050">
                <a:noFill/>
              </a:ln>
              <a:effectLst/>
            </c:spPr>
            <c:extLst>
              <c:ext xmlns:c16="http://schemas.microsoft.com/office/drawing/2014/chart" uri="{C3380CC4-5D6E-409C-BE32-E72D297353CC}">
                <c16:uniqueId val="{00000005-7ED3-44BC-9DDC-8F9FEA9A13B3}"/>
              </c:ext>
            </c:extLst>
          </c:dPt>
          <c:dPt>
            <c:idx val="3"/>
            <c:bubble3D val="0"/>
            <c:spPr>
              <a:solidFill>
                <a:schemeClr val="accent4"/>
              </a:solidFill>
              <a:ln w="19050">
                <a:noFill/>
              </a:ln>
              <a:effectLst/>
            </c:spPr>
            <c:extLst>
              <c:ext xmlns:c16="http://schemas.microsoft.com/office/drawing/2014/chart" uri="{C3380CC4-5D6E-409C-BE32-E72D297353CC}">
                <c16:uniqueId val="{00000007-7ED3-44BC-9DDC-8F9FEA9A13B3}"/>
              </c:ext>
            </c:extLst>
          </c:dPt>
          <c:dPt>
            <c:idx val="4"/>
            <c:bubble3D val="0"/>
            <c:spPr>
              <a:solidFill>
                <a:schemeClr val="accent5"/>
              </a:solidFill>
              <a:ln w="19050">
                <a:noFill/>
              </a:ln>
              <a:effectLst/>
            </c:spPr>
            <c:extLst>
              <c:ext xmlns:c16="http://schemas.microsoft.com/office/drawing/2014/chart" uri="{C3380CC4-5D6E-409C-BE32-E72D297353CC}">
                <c16:uniqueId val="{00000009-7ED3-44BC-9DDC-8F9FEA9A13B3}"/>
              </c:ext>
            </c:extLst>
          </c:dPt>
          <c:dPt>
            <c:idx val="5"/>
            <c:bubble3D val="0"/>
            <c:spPr>
              <a:solidFill>
                <a:schemeClr val="accent6"/>
              </a:solidFill>
              <a:ln w="19050">
                <a:noFill/>
              </a:ln>
              <a:effectLst/>
            </c:spPr>
            <c:extLst>
              <c:ext xmlns:c16="http://schemas.microsoft.com/office/drawing/2014/chart" uri="{C3380CC4-5D6E-409C-BE32-E72D297353CC}">
                <c16:uniqueId val="{0000000B-7ED3-44BC-9DDC-8F9FEA9A13B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'Judicial Dashboard'!$BF$14:$BF$19</c:f>
              <c:strCache>
                <c:ptCount val="6"/>
                <c:pt idx="0">
                  <c:v>EMAIL</c:v>
                </c:pt>
                <c:pt idx="1">
                  <c:v>FILE SHARE</c:v>
                </c:pt>
                <c:pt idx="2">
                  <c:v>SOCIAL MEDIA/WEBSITE</c:v>
                </c:pt>
                <c:pt idx="3">
                  <c:v>COMPUTER/LAPTOP</c:v>
                </c:pt>
                <c:pt idx="4">
                  <c:v>MOBILE DEVICE</c:v>
                </c:pt>
                <c:pt idx="5">
                  <c:v>OTHER DATA SOURCES</c:v>
                </c:pt>
              </c:strCache>
            </c:strRef>
          </c:cat>
          <c:val>
            <c:numRef>
              <c:f>'Judicial Dashboard'!$BG$14:$BG$19</c:f>
              <c:numCache>
                <c:formatCode>0%</c:formatCode>
                <c:ptCount val="6"/>
                <c:pt idx="0">
                  <c:v>0.26907999057428938</c:v>
                </c:pt>
                <c:pt idx="1">
                  <c:v>8.5449272929640399E-2</c:v>
                </c:pt>
                <c:pt idx="2">
                  <c:v>6.8977349931500606E-2</c:v>
                </c:pt>
                <c:pt idx="3">
                  <c:v>0.39285874135240123</c:v>
                </c:pt>
                <c:pt idx="4">
                  <c:v>0.18363464521216838</c:v>
                </c:pt>
                <c:pt idx="5">
                  <c:v>0</c:v>
                </c:pt>
              </c:numCache>
            </c:numRef>
          </c:val>
          <c:extLst>
            <c:ext xmlns:c16="http://schemas.microsoft.com/office/drawing/2014/chart" uri="{C3380CC4-5D6E-409C-BE32-E72D297353CC}">
              <c16:uniqueId val="{00000000-8E59-4F7F-99A6-2CCB197037C8}"/>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40822</xdr:colOff>
      <xdr:row>11</xdr:row>
      <xdr:rowOff>97970</xdr:rowOff>
    </xdr:from>
    <xdr:to>
      <xdr:col>29</xdr:col>
      <xdr:colOff>226786</xdr:colOff>
      <xdr:row>35</xdr:row>
      <xdr:rowOff>99785</xdr:rowOff>
    </xdr:to>
    <xdr:graphicFrame macro="">
      <xdr:nvGraphicFramePr>
        <xdr:cNvPr id="5" name="Chart 4">
          <a:extLst>
            <a:ext uri="{FF2B5EF4-FFF2-40B4-BE49-F238E27FC236}">
              <a16:creationId xmlns:a16="http://schemas.microsoft.com/office/drawing/2014/main" id="{4ADE57D6-3B26-4579-A180-B84C0B8A61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C464-5766-467C-902E-C0EBFE6063C6}">
  <dimension ref="A1:A14"/>
  <sheetViews>
    <sheetView zoomScale="120" zoomScaleNormal="120" workbookViewId="0">
      <selection activeCell="A2" sqref="A2"/>
    </sheetView>
  </sheetViews>
  <sheetFormatPr defaultColWidth="97" defaultRowHeight="14.25" x14ac:dyDescent="0.2"/>
  <cols>
    <col min="1" max="1" width="120.28515625" style="76" customWidth="1"/>
    <col min="2" max="2" width="46.42578125" style="76" customWidth="1"/>
    <col min="3" max="16384" width="97" style="76"/>
  </cols>
  <sheetData>
    <row r="1" spans="1:1" ht="15" thickBot="1" x14ac:dyDescent="0.25"/>
    <row r="2" spans="1:1" ht="55.35" customHeight="1" x14ac:dyDescent="0.2">
      <c r="A2" s="311" t="s">
        <v>0</v>
      </c>
    </row>
    <row r="3" spans="1:1" ht="87.75" thickBot="1" x14ac:dyDescent="0.3">
      <c r="A3" s="256" t="s">
        <v>1</v>
      </c>
    </row>
    <row r="4" spans="1:1" ht="51.75" customHeight="1" thickBot="1" x14ac:dyDescent="0.25">
      <c r="A4" s="77" t="s">
        <v>2</v>
      </c>
    </row>
    <row r="5" spans="1:1" ht="51.75" customHeight="1" thickBot="1" x14ac:dyDescent="0.25">
      <c r="A5" s="77" t="s">
        <v>3</v>
      </c>
    </row>
    <row r="6" spans="1:1" ht="47.85" customHeight="1" thickBot="1" x14ac:dyDescent="0.25">
      <c r="A6" s="77" t="s">
        <v>4</v>
      </c>
    </row>
    <row r="7" spans="1:1" ht="73.349999999999994" customHeight="1" thickBot="1" x14ac:dyDescent="0.25">
      <c r="A7" s="70" t="s">
        <v>5</v>
      </c>
    </row>
    <row r="8" spans="1:1" ht="116.85" customHeight="1" thickBot="1" x14ac:dyDescent="0.25">
      <c r="A8" s="70" t="s">
        <v>6</v>
      </c>
    </row>
    <row r="9" spans="1:1" ht="107.1" customHeight="1" thickBot="1" x14ac:dyDescent="0.25">
      <c r="A9" s="70" t="s">
        <v>7</v>
      </c>
    </row>
    <row r="10" spans="1:1" ht="86.85" customHeight="1" thickBot="1" x14ac:dyDescent="0.25">
      <c r="A10" s="70" t="s">
        <v>8</v>
      </c>
    </row>
    <row r="11" spans="1:1" ht="15" thickBot="1" x14ac:dyDescent="0.25"/>
    <row r="12" spans="1:1" ht="48.6" customHeight="1" thickBot="1" x14ac:dyDescent="0.25">
      <c r="A12" s="222" t="s">
        <v>9</v>
      </c>
    </row>
    <row r="14" spans="1:1" ht="57" x14ac:dyDescent="0.2">
      <c r="A14" s="350" t="s">
        <v>10</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ED18-7767-4F7C-8F26-C4A96ED3D004}">
  <dimension ref="A1:BG40"/>
  <sheetViews>
    <sheetView showGridLines="0" topLeftCell="A7" zoomScale="93" zoomScaleNormal="93" workbookViewId="0">
      <selection activeCell="B39" sqref="B39:Q39"/>
    </sheetView>
  </sheetViews>
  <sheetFormatPr defaultColWidth="8.7109375" defaultRowHeight="15" x14ac:dyDescent="0.25"/>
  <cols>
    <col min="1" max="2" width="3.42578125" style="101" customWidth="1"/>
    <col min="3" max="3" width="15.28515625" style="101" customWidth="1"/>
    <col min="4" max="4" width="14.7109375" style="101" customWidth="1"/>
    <col min="5" max="5" width="3.42578125" style="101" customWidth="1"/>
    <col min="6" max="6" width="3" style="101" customWidth="1"/>
    <col min="7" max="7" width="3.42578125" style="101" customWidth="1"/>
    <col min="8" max="9" width="13.42578125" style="101" customWidth="1"/>
    <col min="10" max="10" width="3.42578125" style="101" customWidth="1"/>
    <col min="11" max="11" width="3" style="101" customWidth="1"/>
    <col min="12" max="12" width="3.42578125" style="101" customWidth="1"/>
    <col min="13" max="14" width="13.42578125" style="101" customWidth="1"/>
    <col min="15" max="15" width="3.42578125" style="101" customWidth="1"/>
    <col min="16" max="16" width="3" style="101" customWidth="1"/>
    <col min="17" max="17" width="3.42578125" style="101" customWidth="1"/>
    <col min="18" max="19" width="13.42578125" style="101" customWidth="1"/>
    <col min="20" max="20" width="3.42578125" style="101" customWidth="1"/>
    <col min="21" max="21" width="3" style="101" customWidth="1"/>
    <col min="22" max="22" width="3.42578125" style="101" customWidth="1"/>
    <col min="23" max="24" width="13.42578125" style="101" customWidth="1"/>
    <col min="25" max="27" width="3.42578125" style="101" customWidth="1"/>
    <col min="28" max="28" width="32.28515625" style="101" customWidth="1"/>
    <col min="29" max="29" width="3" style="101" customWidth="1"/>
    <col min="30" max="55" width="3.42578125" style="101" customWidth="1"/>
    <col min="56" max="56" width="4.28515625" style="101" customWidth="1"/>
    <col min="57" max="57" width="3.42578125" style="101" customWidth="1"/>
    <col min="58" max="59" width="2.7109375" style="158" customWidth="1"/>
    <col min="60" max="16384" width="8.7109375" style="101"/>
  </cols>
  <sheetData>
    <row r="1" spans="1:59" ht="54" customHeight="1" x14ac:dyDescent="0.3">
      <c r="C1" s="381" t="s">
        <v>11</v>
      </c>
      <c r="D1" s="381"/>
      <c r="E1" s="381"/>
      <c r="F1" s="381"/>
      <c r="G1" s="381"/>
      <c r="H1" s="381"/>
      <c r="I1" s="381"/>
      <c r="J1" s="15"/>
      <c r="K1" s="15"/>
      <c r="L1" s="15"/>
      <c r="M1" s="15"/>
      <c r="N1" s="15"/>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9" ht="23.1" customHeight="1" x14ac:dyDescent="0.25">
      <c r="A2"/>
      <c r="B2"/>
      <c r="C2" s="140"/>
      <c r="D2" s="102"/>
      <c r="E2" s="102"/>
      <c r="F2" s="102"/>
      <c r="G2" s="102"/>
      <c r="H2" s="102"/>
      <c r="I2" s="102"/>
      <c r="J2" s="102"/>
      <c r="K2" s="102"/>
      <c r="L2" s="363" t="s">
        <v>12</v>
      </c>
      <c r="M2" s="364"/>
      <c r="N2" s="364"/>
      <c r="O2" s="364"/>
      <c r="P2" s="103"/>
      <c r="Q2" s="363" t="s">
        <v>13</v>
      </c>
      <c r="R2" s="364"/>
      <c r="S2" s="364"/>
      <c r="T2" s="364"/>
      <c r="U2" s="103"/>
      <c r="V2" s="363" t="s">
        <v>14</v>
      </c>
      <c r="W2" s="363"/>
      <c r="X2" s="363"/>
      <c r="Y2" s="363"/>
      <c r="Z2" s="363"/>
      <c r="AA2" s="363"/>
      <c r="AB2" s="363"/>
      <c r="AC2" s="363"/>
      <c r="AD2" s="363"/>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c r="BD2"/>
      <c r="BE2"/>
      <c r="BF2" s="159"/>
    </row>
    <row r="3" spans="1:59" ht="14.85" customHeight="1" x14ac:dyDescent="0.25">
      <c r="A3"/>
      <c r="B3"/>
      <c r="C3" s="102"/>
      <c r="D3" s="102"/>
      <c r="E3" s="102"/>
      <c r="F3" s="102"/>
      <c r="G3" s="102"/>
      <c r="H3" s="102"/>
      <c r="I3" s="102"/>
      <c r="J3" s="102"/>
      <c r="K3" s="102"/>
      <c r="L3" s="365">
        <f>'Judicial Detail View'!G3</f>
        <v>47.75</v>
      </c>
      <c r="M3" s="366"/>
      <c r="N3" s="366"/>
      <c r="O3" s="366"/>
      <c r="P3" s="1"/>
      <c r="Q3" s="365">
        <f>'Judicial Detail View'!G4</f>
        <v>1.5897509470079998</v>
      </c>
      <c r="R3" s="366"/>
      <c r="S3" s="366"/>
      <c r="T3" s="366"/>
      <c r="U3" s="138"/>
      <c r="V3" s="377">
        <f>'Judicial Detail View'!G12</f>
        <v>122071.81835310551</v>
      </c>
      <c r="W3" s="377"/>
      <c r="X3" s="377"/>
      <c r="Y3" s="377"/>
      <c r="Z3" s="377"/>
      <c r="AA3" s="377"/>
      <c r="AB3" s="377"/>
      <c r="AC3" s="377"/>
      <c r="AD3" s="377"/>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c r="BD3"/>
      <c r="BE3"/>
      <c r="BF3" s="362"/>
    </row>
    <row r="4" spans="1:59" ht="14.85" customHeight="1" x14ac:dyDescent="0.25">
      <c r="A4"/>
      <c r="B4"/>
      <c r="C4" s="108" t="s">
        <v>15</v>
      </c>
      <c r="D4" s="105" t="s">
        <v>16</v>
      </c>
      <c r="E4" s="102"/>
      <c r="F4" s="102"/>
      <c r="G4" s="102"/>
      <c r="H4" s="102"/>
      <c r="I4" s="102"/>
      <c r="J4" s="102"/>
      <c r="K4" s="102"/>
      <c r="L4" s="366"/>
      <c r="M4" s="366"/>
      <c r="N4" s="366"/>
      <c r="O4" s="366"/>
      <c r="P4" s="1"/>
      <c r="Q4" s="366"/>
      <c r="R4" s="366"/>
      <c r="S4" s="366"/>
      <c r="T4" s="366"/>
      <c r="U4" s="138"/>
      <c r="V4" s="377"/>
      <c r="W4" s="377"/>
      <c r="X4" s="377"/>
      <c r="Y4" s="377"/>
      <c r="Z4" s="377"/>
      <c r="AA4" s="377"/>
      <c r="AB4" s="377"/>
      <c r="AC4" s="377"/>
      <c r="AD4" s="377"/>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c r="BD4"/>
      <c r="BE4"/>
      <c r="BF4" s="362"/>
    </row>
    <row r="5" spans="1:59" ht="14.85" customHeight="1" x14ac:dyDescent="0.25">
      <c r="A5"/>
      <c r="B5"/>
      <c r="C5" s="104" t="s">
        <v>17</v>
      </c>
      <c r="D5" s="105" t="s">
        <v>18</v>
      </c>
      <c r="E5" s="106"/>
      <c r="F5" s="107"/>
      <c r="G5" s="107"/>
      <c r="H5" s="107"/>
      <c r="I5" s="107"/>
      <c r="J5" s="107"/>
      <c r="K5" s="107"/>
      <c r="L5" s="366"/>
      <c r="M5" s="366"/>
      <c r="N5" s="366"/>
      <c r="O5" s="366"/>
      <c r="P5" s="1"/>
      <c r="Q5" s="366"/>
      <c r="R5" s="366"/>
      <c r="S5" s="366"/>
      <c r="T5" s="366"/>
      <c r="U5" s="138"/>
      <c r="V5" s="377"/>
      <c r="W5" s="377"/>
      <c r="X5" s="377"/>
      <c r="Y5" s="377"/>
      <c r="Z5" s="377"/>
      <c r="AA5" s="377"/>
      <c r="AB5" s="377"/>
      <c r="AC5" s="377"/>
      <c r="AD5" s="377"/>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c r="BD5"/>
      <c r="BE5"/>
      <c r="BF5" s="362"/>
    </row>
    <row r="6" spans="1:59" ht="14.85" customHeight="1" x14ac:dyDescent="0.25">
      <c r="A6"/>
      <c r="B6"/>
      <c r="C6" s="104" t="s">
        <v>19</v>
      </c>
      <c r="D6" s="105" t="s">
        <v>20</v>
      </c>
      <c r="E6" s="106"/>
      <c r="F6" s="107"/>
      <c r="G6" s="107"/>
      <c r="H6" s="107"/>
      <c r="I6" s="107"/>
      <c r="J6" s="107"/>
      <c r="K6" s="107"/>
      <c r="L6" s="366"/>
      <c r="M6" s="366"/>
      <c r="N6" s="366"/>
      <c r="O6" s="366"/>
      <c r="P6" s="1"/>
      <c r="Q6" s="366"/>
      <c r="R6" s="366"/>
      <c r="S6" s="366"/>
      <c r="T6" s="366"/>
      <c r="U6" s="138"/>
      <c r="V6" s="377"/>
      <c r="W6" s="377"/>
      <c r="X6" s="377"/>
      <c r="Y6" s="377"/>
      <c r="Z6" s="377"/>
      <c r="AA6" s="377"/>
      <c r="AB6" s="377"/>
      <c r="AC6" s="377"/>
      <c r="AD6" s="377"/>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c r="BD6"/>
      <c r="BE6"/>
      <c r="BF6" s="362"/>
    </row>
    <row r="7" spans="1:59" ht="26.85" customHeight="1" x14ac:dyDescent="0.25">
      <c r="C7" s="108"/>
      <c r="D7" s="105"/>
      <c r="E7" s="109"/>
      <c r="F7" s="110"/>
      <c r="G7" s="110"/>
      <c r="H7" s="110"/>
      <c r="I7" s="110"/>
      <c r="J7" s="110"/>
      <c r="K7" s="110"/>
      <c r="L7" s="139"/>
      <c r="M7" s="139"/>
      <c r="N7" s="139"/>
      <c r="O7" s="139"/>
      <c r="P7" s="139"/>
      <c r="Q7" s="139"/>
      <c r="R7" s="139"/>
      <c r="S7" s="139"/>
      <c r="T7" s="139"/>
      <c r="U7" s="139"/>
      <c r="V7" s="378" t="s">
        <v>21</v>
      </c>
      <c r="W7" s="378"/>
      <c r="X7" s="378"/>
      <c r="Y7" s="378"/>
      <c r="Z7" s="378"/>
      <c r="AA7" s="378"/>
      <c r="AB7" s="378"/>
      <c r="AC7" s="378"/>
      <c r="AD7" s="378"/>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row>
    <row r="8" spans="1:59" ht="14.85" customHeight="1" x14ac:dyDescent="0.25">
      <c r="C8" s="111"/>
    </row>
    <row r="9" spans="1:59" ht="14.85" customHeight="1" x14ac:dyDescent="0.25">
      <c r="A9"/>
      <c r="B9"/>
      <c r="C9" s="112"/>
      <c r="D9" s="112"/>
      <c r="E9" s="113"/>
      <c r="F9" s="113"/>
      <c r="G9"/>
      <c r="H9" s="112"/>
      <c r="I9" s="114"/>
      <c r="J9"/>
      <c r="K9"/>
      <c r="L9"/>
      <c r="M9"/>
      <c r="N9" s="115"/>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row>
    <row r="10" spans="1:59" ht="20.100000000000001" customHeight="1" x14ac:dyDescent="0.25">
      <c r="A10"/>
      <c r="B10" s="116"/>
      <c r="C10" s="363" t="s">
        <v>22</v>
      </c>
      <c r="D10" s="363"/>
      <c r="E10" s="116"/>
      <c r="F10" s="113"/>
      <c r="G10" s="116"/>
      <c r="H10" s="363" t="s">
        <v>23</v>
      </c>
      <c r="I10" s="363"/>
      <c r="J10" s="116"/>
      <c r="K10" s="117"/>
      <c r="L10" s="363" t="s">
        <v>24</v>
      </c>
      <c r="M10" s="371"/>
      <c r="N10" s="371"/>
      <c r="O10" s="371"/>
      <c r="P10"/>
      <c r="Q10" s="363" t="s">
        <v>25</v>
      </c>
      <c r="R10" s="371"/>
      <c r="S10" s="371"/>
      <c r="T10" s="371"/>
      <c r="U10" s="135"/>
      <c r="V10" s="363" t="s">
        <v>26</v>
      </c>
      <c r="W10" s="363"/>
      <c r="X10" s="363"/>
      <c r="Y10" s="363"/>
      <c r="Z10" s="363"/>
      <c r="AA10" s="363"/>
      <c r="AB10" s="363"/>
      <c r="AC10" s="363"/>
      <c r="AD10" s="363"/>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c r="BD10"/>
      <c r="BE10"/>
    </row>
    <row r="11" spans="1:59" ht="14.85" customHeight="1" x14ac:dyDescent="0.25">
      <c r="A11"/>
      <c r="B11" s="116"/>
      <c r="C11" s="116"/>
      <c r="D11" s="118"/>
      <c r="E11" s="118"/>
      <c r="F11" s="115"/>
      <c r="G11" s="116"/>
      <c r="H11" s="116"/>
      <c r="I11" s="118"/>
      <c r="J11" s="118"/>
      <c r="K11" s="119"/>
      <c r="L11" s="116"/>
      <c r="M11" s="116"/>
      <c r="N11" s="118"/>
      <c r="O11" s="118"/>
      <c r="P11"/>
      <c r="Q11" s="116"/>
      <c r="R11" s="116"/>
      <c r="S11" s="118"/>
      <c r="T11" s="118"/>
      <c r="U11" s="115"/>
      <c r="V11" s="116"/>
      <c r="W11" s="116"/>
      <c r="X11" s="118"/>
      <c r="Y11" s="118"/>
      <c r="Z11" s="118"/>
      <c r="AA11" s="118"/>
      <c r="AB11" s="118"/>
      <c r="AC11" s="118"/>
      <c r="AD11" s="118"/>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c r="BD11"/>
      <c r="BE11"/>
    </row>
    <row r="12" spans="1:59" ht="14.85" customHeight="1" x14ac:dyDescent="0.25">
      <c r="A12"/>
      <c r="B12" s="116"/>
      <c r="C12" s="116"/>
      <c r="D12" s="120"/>
      <c r="E12" s="121"/>
      <c r="F12" s="113"/>
      <c r="G12" s="116"/>
      <c r="H12" s="116"/>
      <c r="I12" s="120"/>
      <c r="J12" s="121"/>
      <c r="K12" s="117"/>
      <c r="L12" s="116"/>
      <c r="M12" s="116"/>
      <c r="N12" s="120"/>
      <c r="O12" s="121"/>
      <c r="P12"/>
      <c r="Q12" s="116"/>
      <c r="R12" s="116"/>
      <c r="S12" s="120"/>
      <c r="T12" s="121"/>
      <c r="U12" s="114"/>
      <c r="V12" s="116"/>
      <c r="W12" s="116"/>
      <c r="X12" s="120"/>
      <c r="Y12" s="121"/>
      <c r="Z12" s="121"/>
      <c r="AA12" s="121"/>
      <c r="AB12" s="121"/>
      <c r="AC12" s="121"/>
      <c r="AD12" s="121"/>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c r="BD12"/>
      <c r="BE12"/>
    </row>
    <row r="13" spans="1:59" ht="14.85" customHeight="1" x14ac:dyDescent="0.55000000000000004">
      <c r="A13"/>
      <c r="B13" s="116"/>
      <c r="C13" s="372">
        <f>'Judicial Detail View'!G5</f>
        <v>3750</v>
      </c>
      <c r="D13" s="372"/>
      <c r="E13" s="150"/>
      <c r="F13" s="151"/>
      <c r="G13" s="152"/>
      <c r="H13" s="372">
        <f>'Judicial Detail View'!G6</f>
        <v>4650</v>
      </c>
      <c r="I13" s="372"/>
      <c r="J13" s="150"/>
      <c r="K13" s="153"/>
      <c r="L13" s="152"/>
      <c r="M13" s="372">
        <f>'Judicial Detail View'!G7</f>
        <v>1925.6127875999998</v>
      </c>
      <c r="N13" s="372"/>
      <c r="O13" s="150"/>
      <c r="P13" s="154"/>
      <c r="Q13" s="152"/>
      <c r="R13" s="372">
        <f>'Judicial Detail View'!G8</f>
        <v>3565.7853311999997</v>
      </c>
      <c r="S13" s="372"/>
      <c r="T13" s="122"/>
      <c r="U13" s="136"/>
      <c r="V13" s="116"/>
      <c r="W13" s="348"/>
      <c r="X13" s="348"/>
      <c r="Y13" s="122"/>
      <c r="Z13" s="122"/>
      <c r="AA13" s="122"/>
      <c r="AB13" s="122"/>
      <c r="AC13" s="122"/>
      <c r="AD13" s="122"/>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c r="BD13"/>
      <c r="BE13"/>
    </row>
    <row r="14" spans="1:59" ht="14.85" customHeight="1" x14ac:dyDescent="0.55000000000000004">
      <c r="A14"/>
      <c r="B14" s="116"/>
      <c r="C14" s="372"/>
      <c r="D14" s="372"/>
      <c r="E14" s="155"/>
      <c r="F14" s="156"/>
      <c r="G14" s="152"/>
      <c r="H14" s="372"/>
      <c r="I14" s="372"/>
      <c r="J14" s="155"/>
      <c r="K14" s="154"/>
      <c r="L14" s="152"/>
      <c r="M14" s="372"/>
      <c r="N14" s="372"/>
      <c r="O14" s="155"/>
      <c r="P14" s="154"/>
      <c r="Q14" s="152"/>
      <c r="R14" s="372"/>
      <c r="S14" s="372"/>
      <c r="T14" s="121"/>
      <c r="U14" s="114"/>
      <c r="V14" s="116"/>
      <c r="W14" s="348"/>
      <c r="X14" s="348"/>
      <c r="Y14" s="121"/>
      <c r="Z14" s="121"/>
      <c r="AA14" s="121"/>
      <c r="AB14" s="121"/>
      <c r="AC14" s="121"/>
      <c r="AD14" s="121"/>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c r="BD14"/>
      <c r="BE14"/>
      <c r="BF14" s="158" t="s">
        <v>27</v>
      </c>
      <c r="BG14" s="160">
        <f>'Judicial Detail View'!B12/'Judicial Detail View'!G12</f>
        <v>0.26907999057428938</v>
      </c>
    </row>
    <row r="15" spans="1:59" ht="14.85" customHeight="1" x14ac:dyDescent="0.55000000000000004">
      <c r="A15"/>
      <c r="B15" s="116"/>
      <c r="C15" s="372"/>
      <c r="D15" s="372"/>
      <c r="E15" s="150"/>
      <c r="F15" s="151"/>
      <c r="G15" s="152"/>
      <c r="H15" s="372"/>
      <c r="I15" s="372"/>
      <c r="J15" s="150"/>
      <c r="K15" s="154"/>
      <c r="L15" s="152"/>
      <c r="M15" s="372"/>
      <c r="N15" s="372"/>
      <c r="O15" s="150"/>
      <c r="P15" s="154"/>
      <c r="Q15" s="152"/>
      <c r="R15" s="372"/>
      <c r="S15" s="372"/>
      <c r="T15" s="122"/>
      <c r="U15" s="136"/>
      <c r="V15" s="116"/>
      <c r="W15" s="368"/>
      <c r="X15" s="369"/>
      <c r="Y15" s="122"/>
      <c r="Z15" s="122"/>
      <c r="AA15" s="122"/>
      <c r="AB15" s="122"/>
      <c r="AC15" s="122"/>
      <c r="AD15" s="122"/>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c r="BD15"/>
      <c r="BE15"/>
      <c r="BF15" s="158" t="s">
        <v>28</v>
      </c>
      <c r="BG15" s="160">
        <f>'Judicial Detail View'!C12/'Judicial Detail View'!G12</f>
        <v>8.5449272929640399E-2</v>
      </c>
    </row>
    <row r="16" spans="1:59" ht="14.85" customHeight="1" x14ac:dyDescent="0.55000000000000004">
      <c r="A16"/>
      <c r="B16" s="116"/>
      <c r="C16" s="376"/>
      <c r="D16" s="376"/>
      <c r="E16" s="152"/>
      <c r="F16" s="156"/>
      <c r="G16" s="152"/>
      <c r="H16" s="376"/>
      <c r="I16" s="376"/>
      <c r="J16" s="152"/>
      <c r="K16" s="154"/>
      <c r="L16" s="152"/>
      <c r="M16" s="376"/>
      <c r="N16" s="376"/>
      <c r="O16" s="152"/>
      <c r="P16" s="154"/>
      <c r="Q16" s="152"/>
      <c r="R16" s="376"/>
      <c r="S16" s="376"/>
      <c r="T16" s="116"/>
      <c r="U16"/>
      <c r="V16" s="116"/>
      <c r="W16" s="369"/>
      <c r="X16" s="369"/>
      <c r="Y16" s="116"/>
      <c r="Z16" s="116"/>
      <c r="AA16" s="116"/>
      <c r="AB16" s="116"/>
      <c r="AC16" s="116"/>
      <c r="AD16" s="116"/>
      <c r="AE16"/>
      <c r="AF16"/>
      <c r="AG16"/>
      <c r="AH16"/>
      <c r="AI16"/>
      <c r="AJ16"/>
      <c r="AK16"/>
      <c r="AL16"/>
      <c r="AM16"/>
      <c r="AN16"/>
      <c r="AO16"/>
      <c r="AP16"/>
      <c r="AQ16"/>
      <c r="AR16"/>
      <c r="AS16"/>
      <c r="AT16"/>
      <c r="AU16"/>
      <c r="AV16"/>
      <c r="AW16"/>
      <c r="AX16"/>
      <c r="AY16"/>
      <c r="AZ16"/>
      <c r="BA16"/>
      <c r="BB16"/>
      <c r="BC16"/>
      <c r="BD16"/>
      <c r="BE16"/>
      <c r="BF16" s="158" t="s">
        <v>29</v>
      </c>
      <c r="BG16" s="160">
        <f>'Judicial Detail View'!D12/'Judicial Detail View'!G12</f>
        <v>6.8977349931500606E-2</v>
      </c>
    </row>
    <row r="17" spans="1:59" ht="14.85" customHeight="1" x14ac:dyDescent="0.55000000000000004">
      <c r="A17"/>
      <c r="B17" s="116"/>
      <c r="C17" s="152"/>
      <c r="D17" s="152"/>
      <c r="E17" s="152"/>
      <c r="F17" s="154"/>
      <c r="G17" s="152"/>
      <c r="H17" s="152"/>
      <c r="I17" s="152"/>
      <c r="J17" s="152"/>
      <c r="K17" s="154"/>
      <c r="L17" s="152"/>
      <c r="M17" s="152"/>
      <c r="N17" s="152"/>
      <c r="O17" s="152"/>
      <c r="P17" s="154"/>
      <c r="Q17" s="152"/>
      <c r="R17" s="152"/>
      <c r="S17" s="152"/>
      <c r="T17" s="116"/>
      <c r="U17"/>
      <c r="V17" s="116"/>
      <c r="W17" s="369"/>
      <c r="X17" s="369"/>
      <c r="Y17" s="116"/>
      <c r="Z17" s="116"/>
      <c r="AA17" s="116"/>
      <c r="AB17" s="116"/>
      <c r="AC17" s="116"/>
      <c r="AD17" s="116"/>
      <c r="AE17"/>
      <c r="AF17"/>
      <c r="AG17"/>
      <c r="AH17"/>
      <c r="AI17"/>
      <c r="AJ17"/>
      <c r="AK17"/>
      <c r="AL17"/>
      <c r="AM17"/>
      <c r="AN17"/>
      <c r="AO17"/>
      <c r="AP17"/>
      <c r="AQ17"/>
      <c r="AR17"/>
      <c r="AS17"/>
      <c r="AT17"/>
      <c r="AU17"/>
      <c r="AV17"/>
      <c r="AW17"/>
      <c r="AX17"/>
      <c r="AY17"/>
      <c r="AZ17"/>
      <c r="BA17"/>
      <c r="BB17"/>
      <c r="BC17"/>
      <c r="BD17"/>
      <c r="BE17"/>
      <c r="BF17" s="158" t="s">
        <v>30</v>
      </c>
      <c r="BG17" s="160">
        <f>'Judicial Detail View'!E12/'Judicial Detail View'!G12</f>
        <v>0.39285874135240123</v>
      </c>
    </row>
    <row r="18" spans="1:59" ht="14.85" customHeight="1" x14ac:dyDescent="0.55000000000000004">
      <c r="A18"/>
      <c r="B18" s="116"/>
      <c r="C18" s="379">
        <f>C13/V3</f>
        <v>3.0719621044332547E-2</v>
      </c>
      <c r="D18" s="379"/>
      <c r="E18" s="152"/>
      <c r="F18" s="154"/>
      <c r="G18" s="152"/>
      <c r="H18" s="379">
        <f>H13/V3</f>
        <v>3.8092330094972357E-2</v>
      </c>
      <c r="I18" s="379"/>
      <c r="J18" s="152"/>
      <c r="K18" s="154"/>
      <c r="L18" s="152"/>
      <c r="M18" s="379">
        <f>M13/V3</f>
        <v>1.5774425363518082E-2</v>
      </c>
      <c r="N18" s="379"/>
      <c r="O18" s="152"/>
      <c r="P18" s="154"/>
      <c r="Q18" s="152"/>
      <c r="R18" s="379">
        <f>R13/V3</f>
        <v>2.9210553093307681E-2</v>
      </c>
      <c r="S18" s="379"/>
      <c r="T18" s="116"/>
      <c r="U18"/>
      <c r="V18" s="116"/>
      <c r="W18" s="369"/>
      <c r="X18" s="369"/>
      <c r="Y18" s="116"/>
      <c r="Z18" s="116"/>
      <c r="AA18" s="116"/>
      <c r="AB18" s="116"/>
      <c r="AC18" s="116"/>
      <c r="AD18" s="116"/>
      <c r="AE18"/>
      <c r="AF18"/>
      <c r="AG18"/>
      <c r="AH18"/>
      <c r="AI18"/>
      <c r="AJ18"/>
      <c r="AK18"/>
      <c r="AL18"/>
      <c r="AM18"/>
      <c r="AN18"/>
      <c r="AO18"/>
      <c r="AP18"/>
      <c r="AQ18"/>
      <c r="AR18"/>
      <c r="AS18"/>
      <c r="AT18"/>
      <c r="AU18"/>
      <c r="AV18"/>
      <c r="AW18"/>
      <c r="AX18"/>
      <c r="AY18"/>
      <c r="AZ18"/>
      <c r="BA18"/>
      <c r="BB18"/>
      <c r="BC18"/>
      <c r="BD18"/>
      <c r="BE18"/>
      <c r="BF18" s="158" t="s">
        <v>31</v>
      </c>
      <c r="BG18" s="160">
        <f>'Judicial Detail View'!F12/'Judicial Detail View'!G12</f>
        <v>0.18363464521216838</v>
      </c>
    </row>
    <row r="19" spans="1:59" ht="14.85" customHeight="1" x14ac:dyDescent="0.55000000000000004">
      <c r="A19"/>
      <c r="B19" s="116"/>
      <c r="C19" s="379"/>
      <c r="D19" s="379"/>
      <c r="E19" s="152"/>
      <c r="F19" s="154"/>
      <c r="G19" s="152"/>
      <c r="H19" s="379"/>
      <c r="I19" s="379"/>
      <c r="J19" s="152"/>
      <c r="K19" s="154"/>
      <c r="L19" s="152"/>
      <c r="M19" s="379"/>
      <c r="N19" s="379"/>
      <c r="O19" s="152"/>
      <c r="P19" s="154"/>
      <c r="Q19" s="152"/>
      <c r="R19" s="379"/>
      <c r="S19" s="379"/>
      <c r="T19" s="116"/>
      <c r="U19"/>
      <c r="V19" s="116"/>
      <c r="W19" s="367"/>
      <c r="X19" s="367"/>
      <c r="Y19" s="116"/>
      <c r="Z19" s="116"/>
      <c r="AA19" s="116"/>
      <c r="AB19" s="116"/>
      <c r="AC19" s="116"/>
      <c r="AD19" s="116"/>
      <c r="AE19"/>
      <c r="AF19"/>
      <c r="AG19"/>
      <c r="AH19"/>
      <c r="AI19"/>
      <c r="AJ19"/>
      <c r="AK19"/>
      <c r="AL19"/>
      <c r="AM19"/>
      <c r="AN19"/>
      <c r="AO19"/>
      <c r="AP19"/>
      <c r="AQ19"/>
      <c r="AR19"/>
      <c r="AS19"/>
      <c r="AT19"/>
      <c r="AU19"/>
      <c r="AV19"/>
      <c r="AW19"/>
      <c r="AX19"/>
      <c r="AY19"/>
      <c r="AZ19"/>
      <c r="BA19"/>
      <c r="BB19"/>
      <c r="BC19"/>
      <c r="BD19"/>
      <c r="BE19"/>
      <c r="BF19" s="158" t="s">
        <v>32</v>
      </c>
      <c r="BG19" s="160" t="e">
        <f>'Judicial Detail View'!#REF!/'Judicial Detail View'!G12</f>
        <v>#REF!</v>
      </c>
    </row>
    <row r="20" spans="1:59" ht="14.85" customHeight="1" x14ac:dyDescent="0.55000000000000004">
      <c r="A20"/>
      <c r="B20" s="116"/>
      <c r="C20" s="379"/>
      <c r="D20" s="379"/>
      <c r="E20" s="157"/>
      <c r="F20" s="154"/>
      <c r="G20" s="152"/>
      <c r="H20" s="379"/>
      <c r="I20" s="379"/>
      <c r="J20" s="157"/>
      <c r="K20" s="154"/>
      <c r="L20" s="152"/>
      <c r="M20" s="379"/>
      <c r="N20" s="379"/>
      <c r="O20" s="157"/>
      <c r="P20" s="154"/>
      <c r="Q20" s="152"/>
      <c r="R20" s="379"/>
      <c r="S20" s="379"/>
      <c r="T20" s="124"/>
      <c r="U20" s="137"/>
      <c r="V20" s="116"/>
      <c r="W20" s="348"/>
      <c r="X20" s="348"/>
      <c r="Y20" s="124"/>
      <c r="Z20" s="124"/>
      <c r="AA20" s="124"/>
      <c r="AB20" s="124"/>
      <c r="AC20" s="124"/>
      <c r="AD20" s="124"/>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c r="BD20"/>
      <c r="BE20"/>
    </row>
    <row r="21" spans="1:59" ht="14.85" customHeight="1" x14ac:dyDescent="0.25">
      <c r="A21"/>
      <c r="B21" s="116"/>
      <c r="C21" s="123"/>
      <c r="D21" s="123"/>
      <c r="E21" s="125"/>
      <c r="F21"/>
      <c r="G21" s="116"/>
      <c r="H21" s="367"/>
      <c r="I21" s="367"/>
      <c r="J21" s="125"/>
      <c r="K21"/>
      <c r="L21" s="116"/>
      <c r="M21" s="123"/>
      <c r="N21" s="123"/>
      <c r="O21" s="125"/>
      <c r="P21"/>
      <c r="Q21" s="116"/>
      <c r="R21" s="347"/>
      <c r="S21" s="347"/>
      <c r="T21" s="125"/>
      <c r="U21" s="129"/>
      <c r="V21" s="116"/>
      <c r="W21" s="347"/>
      <c r="X21" s="347"/>
      <c r="Y21" s="125"/>
      <c r="Z21" s="125"/>
      <c r="AA21" s="125"/>
      <c r="AB21" s="125"/>
      <c r="AC21" s="125"/>
      <c r="AD21" s="125"/>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c r="BD21"/>
      <c r="BE21"/>
    </row>
    <row r="22" spans="1:59" ht="14.85" customHeight="1" x14ac:dyDescent="0.25">
      <c r="A22"/>
      <c r="B22" s="116"/>
      <c r="C22" s="116"/>
      <c r="D22" s="126"/>
      <c r="E22" s="125"/>
      <c r="F22"/>
      <c r="G22" s="116"/>
      <c r="H22" s="116"/>
      <c r="I22" s="126"/>
      <c r="J22" s="125"/>
      <c r="K22"/>
      <c r="L22" s="116"/>
      <c r="M22" s="116"/>
      <c r="N22" s="126"/>
      <c r="O22" s="125"/>
      <c r="P22"/>
      <c r="Q22" s="116"/>
      <c r="R22" s="116"/>
      <c r="S22" s="126"/>
      <c r="T22" s="125"/>
      <c r="U22" s="129"/>
      <c r="V22" s="116"/>
      <c r="W22" s="116"/>
      <c r="X22" s="126"/>
      <c r="Y22" s="125"/>
      <c r="Z22" s="125"/>
      <c r="AA22" s="125"/>
      <c r="AB22" s="125"/>
      <c r="AC22" s="125"/>
      <c r="AD22" s="125"/>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c r="BD22"/>
      <c r="BE22"/>
    </row>
    <row r="23" spans="1:59" ht="14.85" customHeight="1" x14ac:dyDescent="0.25">
      <c r="A23"/>
      <c r="B23"/>
      <c r="C23"/>
      <c r="D23" s="127"/>
      <c r="E23" s="103"/>
      <c r="F23" s="103"/>
      <c r="G23" s="128"/>
      <c r="H23" s="127"/>
      <c r="I23" s="103"/>
      <c r="J23"/>
      <c r="K23"/>
      <c r="L23"/>
      <c r="M23"/>
      <c r="N23"/>
      <c r="O23"/>
      <c r="P23"/>
      <c r="Q23"/>
      <c r="R23"/>
      <c r="S23"/>
      <c r="T23"/>
      <c r="U23"/>
      <c r="V23" s="116"/>
      <c r="W23" s="116"/>
      <c r="X23" s="116"/>
      <c r="Y23" s="116"/>
      <c r="Z23" s="116"/>
      <c r="AA23" s="116"/>
      <c r="AB23" s="116"/>
      <c r="AC23" s="116"/>
      <c r="AD23" s="116"/>
      <c r="AE23"/>
      <c r="AF23"/>
      <c r="AG23"/>
      <c r="AH23"/>
      <c r="AI23"/>
      <c r="AJ23"/>
      <c r="AK23"/>
      <c r="AL23"/>
      <c r="AM23"/>
      <c r="AN23"/>
      <c r="AO23"/>
      <c r="AP23"/>
      <c r="AQ23"/>
      <c r="AR23"/>
      <c r="AS23"/>
      <c r="AT23"/>
      <c r="AU23"/>
      <c r="AV23"/>
      <c r="AW23"/>
      <c r="AX23"/>
      <c r="AY23"/>
      <c r="AZ23"/>
      <c r="BA23"/>
      <c r="BB23"/>
      <c r="BC23"/>
      <c r="BD23"/>
      <c r="BE23"/>
    </row>
    <row r="24" spans="1:59" ht="19.350000000000001" customHeight="1" x14ac:dyDescent="0.25">
      <c r="A24"/>
      <c r="B24" s="116"/>
      <c r="C24" s="363" t="s">
        <v>33</v>
      </c>
      <c r="D24" s="363"/>
      <c r="E24" s="116"/>
      <c r="F24" s="113"/>
      <c r="G24" s="116"/>
      <c r="H24" s="363" t="s">
        <v>34</v>
      </c>
      <c r="I24" s="363"/>
      <c r="J24" s="116"/>
      <c r="K24" s="117"/>
      <c r="L24" s="363" t="s">
        <v>35</v>
      </c>
      <c r="M24" s="371"/>
      <c r="N24" s="371"/>
      <c r="O24" s="371"/>
      <c r="P24"/>
      <c r="Q24" s="373"/>
      <c r="R24" s="373"/>
      <c r="S24" s="373"/>
      <c r="T24" s="373"/>
      <c r="U24" s="135"/>
      <c r="V24" s="141"/>
      <c r="W24" s="141"/>
      <c r="X24" s="141"/>
      <c r="Y24" s="141"/>
      <c r="Z24" s="345"/>
      <c r="AA24" s="363"/>
      <c r="AB24" s="363"/>
      <c r="AC24" s="363"/>
      <c r="AD24" s="363"/>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c r="BD24"/>
      <c r="BE24"/>
    </row>
    <row r="25" spans="1:59" ht="14.85" customHeight="1" x14ac:dyDescent="0.25">
      <c r="A25"/>
      <c r="B25" s="116"/>
      <c r="C25" s="116"/>
      <c r="D25" s="118"/>
      <c r="E25" s="118"/>
      <c r="F25" s="115"/>
      <c r="G25" s="116"/>
      <c r="H25" s="116"/>
      <c r="I25" s="118"/>
      <c r="J25" s="118"/>
      <c r="K25" s="119"/>
      <c r="L25" s="116"/>
      <c r="M25" s="116"/>
      <c r="N25" s="118"/>
      <c r="O25" s="118"/>
      <c r="P25"/>
      <c r="Q25" s="142"/>
      <c r="R25" s="142"/>
      <c r="S25" s="143"/>
      <c r="T25" s="143"/>
      <c r="U25" s="115"/>
      <c r="V25" s="116"/>
      <c r="W25" s="116"/>
      <c r="X25" s="118"/>
      <c r="Y25" s="118"/>
      <c r="Z25" s="118"/>
      <c r="AA25" s="116"/>
      <c r="AB25" s="116"/>
      <c r="AC25" s="118"/>
      <c r="AD25" s="118"/>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c r="BD25"/>
      <c r="BE25"/>
    </row>
    <row r="26" spans="1:59" ht="14.85" customHeight="1" x14ac:dyDescent="0.25">
      <c r="A26"/>
      <c r="B26" s="116"/>
      <c r="C26" s="116"/>
      <c r="D26" s="120"/>
      <c r="E26" s="121"/>
      <c r="F26" s="113"/>
      <c r="G26" s="116"/>
      <c r="H26" s="116"/>
      <c r="I26" s="120"/>
      <c r="J26" s="121"/>
      <c r="K26" s="117"/>
      <c r="L26" s="116"/>
      <c r="M26" s="116"/>
      <c r="N26" s="120"/>
      <c r="O26" s="121"/>
      <c r="P26"/>
      <c r="Q26" s="142"/>
      <c r="R26" s="142"/>
      <c r="S26" s="144"/>
      <c r="T26" s="145"/>
      <c r="U26" s="114"/>
      <c r="V26" s="116"/>
      <c r="W26" s="116"/>
      <c r="X26" s="120"/>
      <c r="Y26" s="121"/>
      <c r="Z26" s="121"/>
      <c r="AA26" s="116"/>
      <c r="AB26" s="116"/>
      <c r="AC26" s="120"/>
      <c r="AD26" s="121"/>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c r="BD26"/>
      <c r="BE26"/>
    </row>
    <row r="27" spans="1:59" ht="14.85" customHeight="1" x14ac:dyDescent="0.55000000000000004">
      <c r="A27"/>
      <c r="B27" s="116"/>
      <c r="C27" s="372">
        <f>'Judicial Detail View'!G9</f>
        <v>100647.55261247998</v>
      </c>
      <c r="D27" s="372"/>
      <c r="E27" s="150"/>
      <c r="F27" s="151"/>
      <c r="G27" s="152"/>
      <c r="H27" s="372">
        <f>'Judicial Detail View'!G10</f>
        <v>1055.2321818255361</v>
      </c>
      <c r="I27" s="372"/>
      <c r="J27" s="150"/>
      <c r="K27" s="153"/>
      <c r="L27" s="152"/>
      <c r="M27" s="372">
        <f>'Judicial Detail View'!G11</f>
        <v>6477.63544</v>
      </c>
      <c r="N27" s="372"/>
      <c r="O27" s="122"/>
      <c r="P27"/>
      <c r="Q27" s="142"/>
      <c r="R27" s="346"/>
      <c r="S27" s="346"/>
      <c r="T27" s="146"/>
      <c r="U27" s="136"/>
      <c r="V27" s="116"/>
      <c r="W27" s="348"/>
      <c r="X27" s="348"/>
      <c r="Y27" s="122"/>
      <c r="Z27" s="122"/>
      <c r="AA27" s="116"/>
      <c r="AB27" s="348"/>
      <c r="AC27" s="348"/>
      <c r="AD27" s="122"/>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c r="BD27"/>
      <c r="BE27"/>
      <c r="BG27" s="161"/>
    </row>
    <row r="28" spans="1:59" ht="14.85" customHeight="1" x14ac:dyDescent="0.55000000000000004">
      <c r="A28"/>
      <c r="B28" s="116"/>
      <c r="C28" s="372"/>
      <c r="D28" s="372"/>
      <c r="E28" s="155"/>
      <c r="F28" s="156"/>
      <c r="G28" s="152"/>
      <c r="H28" s="372"/>
      <c r="I28" s="372"/>
      <c r="J28" s="155"/>
      <c r="K28" s="154"/>
      <c r="L28" s="152"/>
      <c r="M28" s="372"/>
      <c r="N28" s="372"/>
      <c r="O28" s="121"/>
      <c r="P28"/>
      <c r="Q28" s="142"/>
      <c r="R28" s="346"/>
      <c r="S28" s="346"/>
      <c r="T28" s="145"/>
      <c r="U28" s="114"/>
      <c r="V28" s="116"/>
      <c r="W28" s="348"/>
      <c r="X28" s="348"/>
      <c r="Y28" s="121"/>
      <c r="Z28" s="121"/>
      <c r="AA28" s="116"/>
      <c r="AB28" s="348"/>
      <c r="AC28" s="348"/>
      <c r="AD28" s="121"/>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c r="BD28"/>
      <c r="BE28"/>
    </row>
    <row r="29" spans="1:59" ht="14.85" customHeight="1" x14ac:dyDescent="0.55000000000000004">
      <c r="A29"/>
      <c r="B29" s="116"/>
      <c r="C29" s="372"/>
      <c r="D29" s="372"/>
      <c r="E29" s="150"/>
      <c r="F29" s="151"/>
      <c r="G29" s="152"/>
      <c r="H29" s="372"/>
      <c r="I29" s="372"/>
      <c r="J29" s="150"/>
      <c r="K29" s="154"/>
      <c r="L29" s="152"/>
      <c r="M29" s="372"/>
      <c r="N29" s="372"/>
      <c r="O29" s="122"/>
      <c r="P29"/>
      <c r="Q29" s="142"/>
      <c r="R29" s="374"/>
      <c r="S29" s="375"/>
      <c r="T29" s="146"/>
      <c r="U29" s="136"/>
      <c r="V29" s="116"/>
      <c r="W29" s="368"/>
      <c r="X29" s="369"/>
      <c r="Y29" s="122"/>
      <c r="Z29" s="122"/>
      <c r="AA29" s="116"/>
      <c r="AB29" s="368"/>
      <c r="AC29" s="369"/>
      <c r="AD29" s="122"/>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c r="BD29"/>
      <c r="BE29"/>
    </row>
    <row r="30" spans="1:59" ht="14.85" customHeight="1" x14ac:dyDescent="0.55000000000000004">
      <c r="A30"/>
      <c r="B30" s="116"/>
      <c r="C30" s="376"/>
      <c r="D30" s="376"/>
      <c r="E30" s="152"/>
      <c r="F30" s="156"/>
      <c r="G30" s="152"/>
      <c r="H30" s="376"/>
      <c r="I30" s="376"/>
      <c r="J30" s="152"/>
      <c r="K30" s="154"/>
      <c r="L30" s="152"/>
      <c r="M30" s="376"/>
      <c r="N30" s="376"/>
      <c r="O30" s="116"/>
      <c r="P30"/>
      <c r="Q30" s="142"/>
      <c r="R30" s="375"/>
      <c r="S30" s="375"/>
      <c r="T30" s="142"/>
      <c r="U30"/>
      <c r="V30" s="116"/>
      <c r="W30" s="369"/>
      <c r="X30" s="369"/>
      <c r="Y30" s="116"/>
      <c r="Z30" s="116"/>
      <c r="AA30" s="116"/>
      <c r="AB30" s="369"/>
      <c r="AC30" s="369"/>
      <c r="AD30" s="116"/>
      <c r="AE30"/>
      <c r="AF30"/>
      <c r="AG30"/>
      <c r="AH30"/>
      <c r="AI30"/>
      <c r="AJ30"/>
      <c r="AK30"/>
      <c r="AL30"/>
      <c r="AM30"/>
      <c r="AN30"/>
      <c r="AO30"/>
      <c r="AP30"/>
      <c r="AQ30"/>
      <c r="AR30"/>
      <c r="AS30"/>
      <c r="AT30"/>
      <c r="AU30"/>
      <c r="AV30"/>
      <c r="AW30"/>
      <c r="AX30"/>
      <c r="AY30"/>
      <c r="AZ30"/>
      <c r="BA30"/>
      <c r="BB30"/>
      <c r="BC30"/>
      <c r="BD30"/>
      <c r="BE30"/>
    </row>
    <row r="31" spans="1:59" ht="14.85" customHeight="1" x14ac:dyDescent="0.55000000000000004">
      <c r="A31"/>
      <c r="B31" s="116"/>
      <c r="C31" s="152"/>
      <c r="D31" s="152"/>
      <c r="E31" s="152"/>
      <c r="F31" s="154"/>
      <c r="G31" s="152"/>
      <c r="H31" s="152"/>
      <c r="I31" s="152"/>
      <c r="J31" s="152"/>
      <c r="K31" s="154"/>
      <c r="L31" s="152"/>
      <c r="M31" s="152"/>
      <c r="N31" s="152"/>
      <c r="O31" s="116"/>
      <c r="P31"/>
      <c r="Q31" s="142"/>
      <c r="R31" s="375"/>
      <c r="S31" s="375"/>
      <c r="T31" s="142"/>
      <c r="U31"/>
      <c r="V31" s="116"/>
      <c r="W31" s="369"/>
      <c r="X31" s="369"/>
      <c r="Y31" s="116"/>
      <c r="Z31" s="116"/>
      <c r="AA31" s="116"/>
      <c r="AB31" s="369"/>
      <c r="AC31" s="369"/>
      <c r="AD31" s="116"/>
      <c r="AE31"/>
      <c r="AF31"/>
      <c r="AG31"/>
      <c r="AH31"/>
      <c r="AI31"/>
      <c r="AJ31"/>
      <c r="AK31"/>
      <c r="AL31"/>
      <c r="AM31"/>
      <c r="AN31"/>
      <c r="AO31"/>
      <c r="AP31"/>
      <c r="AQ31"/>
      <c r="AR31"/>
      <c r="AS31"/>
      <c r="AT31"/>
      <c r="AU31"/>
      <c r="AV31"/>
      <c r="AW31"/>
      <c r="AX31"/>
      <c r="AY31"/>
      <c r="AZ31"/>
      <c r="BA31"/>
      <c r="BB31"/>
      <c r="BC31"/>
      <c r="BD31"/>
      <c r="BE31"/>
    </row>
    <row r="32" spans="1:59" ht="14.85" customHeight="1" x14ac:dyDescent="0.55000000000000004">
      <c r="A32"/>
      <c r="B32" s="116"/>
      <c r="C32" s="379">
        <f>C27/V3</f>
        <v>0.82449458007864185</v>
      </c>
      <c r="D32" s="379"/>
      <c r="E32" s="152"/>
      <c r="F32" s="154"/>
      <c r="G32" s="152"/>
      <c r="H32" s="379">
        <f>H27/V3</f>
        <v>8.6443553971905836E-3</v>
      </c>
      <c r="I32" s="379"/>
      <c r="J32" s="152"/>
      <c r="K32" s="154"/>
      <c r="L32" s="152"/>
      <c r="M32" s="379">
        <f>M27/V3</f>
        <v>5.3064134928036882E-2</v>
      </c>
      <c r="N32" s="379"/>
      <c r="O32" s="116"/>
      <c r="P32"/>
      <c r="Q32" s="142"/>
      <c r="R32" s="375"/>
      <c r="S32" s="375"/>
      <c r="T32" s="142"/>
      <c r="U32"/>
      <c r="V32" s="116"/>
      <c r="W32" s="369"/>
      <c r="X32" s="369"/>
      <c r="Y32" s="116"/>
      <c r="Z32" s="116"/>
      <c r="AA32" s="116"/>
      <c r="AB32" s="369"/>
      <c r="AC32" s="369"/>
      <c r="AD32" s="116"/>
      <c r="AE32"/>
      <c r="AF32"/>
      <c r="AG32"/>
      <c r="AH32"/>
      <c r="AI32"/>
      <c r="AJ32"/>
      <c r="AK32"/>
      <c r="AL32"/>
      <c r="AM32"/>
      <c r="AN32"/>
      <c r="AO32"/>
      <c r="AP32"/>
      <c r="AQ32"/>
      <c r="AR32"/>
      <c r="AS32"/>
      <c r="AT32"/>
      <c r="AU32"/>
      <c r="AV32"/>
      <c r="AW32"/>
      <c r="AX32"/>
      <c r="AY32"/>
      <c r="AZ32"/>
      <c r="BA32"/>
      <c r="BB32"/>
      <c r="BC32"/>
      <c r="BD32"/>
      <c r="BE32"/>
    </row>
    <row r="33" spans="1:57" ht="14.85" customHeight="1" x14ac:dyDescent="0.55000000000000004">
      <c r="A33"/>
      <c r="B33" s="116"/>
      <c r="C33" s="379"/>
      <c r="D33" s="379"/>
      <c r="E33" s="152"/>
      <c r="F33" s="154"/>
      <c r="G33" s="152"/>
      <c r="H33" s="379"/>
      <c r="I33" s="379"/>
      <c r="J33" s="152"/>
      <c r="K33" s="154"/>
      <c r="L33" s="152"/>
      <c r="M33" s="379"/>
      <c r="N33" s="379"/>
      <c r="O33" s="116"/>
      <c r="P33"/>
      <c r="Q33" s="142"/>
      <c r="R33" s="370"/>
      <c r="S33" s="370"/>
      <c r="T33" s="142"/>
      <c r="U33"/>
      <c r="V33" s="116"/>
      <c r="W33" s="367"/>
      <c r="X33" s="367"/>
      <c r="Y33" s="116"/>
      <c r="Z33" s="116"/>
      <c r="AA33" s="116"/>
      <c r="AB33" s="367"/>
      <c r="AC33" s="367"/>
      <c r="AD33" s="116"/>
      <c r="AE33"/>
      <c r="AF33"/>
      <c r="AG33"/>
      <c r="AH33"/>
      <c r="AI33"/>
      <c r="AJ33"/>
      <c r="AK33"/>
      <c r="AL33"/>
      <c r="AM33"/>
      <c r="AN33"/>
      <c r="AO33"/>
      <c r="AP33"/>
      <c r="AQ33"/>
      <c r="AR33"/>
      <c r="AS33"/>
      <c r="AT33"/>
      <c r="AU33"/>
      <c r="AV33"/>
      <c r="AW33"/>
      <c r="AX33"/>
      <c r="AY33"/>
      <c r="AZ33"/>
      <c r="BA33"/>
      <c r="BB33"/>
      <c r="BC33"/>
      <c r="BD33"/>
      <c r="BE33"/>
    </row>
    <row r="34" spans="1:57" ht="14.85" customHeight="1" x14ac:dyDescent="0.55000000000000004">
      <c r="A34"/>
      <c r="B34" s="116"/>
      <c r="C34" s="379"/>
      <c r="D34" s="379"/>
      <c r="E34" s="157"/>
      <c r="F34" s="154"/>
      <c r="G34" s="152"/>
      <c r="H34" s="379"/>
      <c r="I34" s="379"/>
      <c r="J34" s="157"/>
      <c r="K34" s="154"/>
      <c r="L34" s="152"/>
      <c r="M34" s="379"/>
      <c r="N34" s="379"/>
      <c r="O34" s="124"/>
      <c r="P34"/>
      <c r="Q34" s="142"/>
      <c r="R34" s="346"/>
      <c r="S34" s="346"/>
      <c r="T34" s="147"/>
      <c r="U34" s="137"/>
      <c r="V34" s="116"/>
      <c r="W34" s="348"/>
      <c r="X34" s="348"/>
      <c r="Y34" s="124"/>
      <c r="Z34" s="124"/>
      <c r="AA34" s="116"/>
      <c r="AB34" s="348"/>
      <c r="AC34" s="348"/>
      <c r="AD34" s="124"/>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c r="BD34"/>
      <c r="BE34"/>
    </row>
    <row r="35" spans="1:57" ht="14.85" customHeight="1" x14ac:dyDescent="0.25">
      <c r="A35"/>
      <c r="B35" s="116"/>
      <c r="C35" s="123"/>
      <c r="D35" s="123"/>
      <c r="E35" s="125"/>
      <c r="F35"/>
      <c r="G35" s="116"/>
      <c r="H35" s="367"/>
      <c r="I35" s="367"/>
      <c r="J35" s="125"/>
      <c r="K35"/>
      <c r="L35" s="116"/>
      <c r="M35" s="123"/>
      <c r="N35" s="123"/>
      <c r="O35" s="125"/>
      <c r="P35"/>
      <c r="Q35" s="142"/>
      <c r="R35" s="349"/>
      <c r="S35" s="349"/>
      <c r="T35" s="148"/>
      <c r="U35" s="129"/>
      <c r="V35" s="116"/>
      <c r="W35" s="347"/>
      <c r="X35" s="347"/>
      <c r="Y35" s="125"/>
      <c r="Z35" s="125"/>
      <c r="AA35" s="116"/>
      <c r="AB35" s="347"/>
      <c r="AC35" s="347"/>
      <c r="AD35" s="125"/>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c r="BD35"/>
      <c r="BE35"/>
    </row>
    <row r="36" spans="1:57" ht="14.85" customHeight="1" x14ac:dyDescent="0.25">
      <c r="A36"/>
      <c r="B36" s="116"/>
      <c r="C36" s="116"/>
      <c r="D36" s="126"/>
      <c r="E36" s="125"/>
      <c r="F36"/>
      <c r="G36" s="116"/>
      <c r="H36" s="116"/>
      <c r="I36" s="126"/>
      <c r="J36" s="125"/>
      <c r="K36"/>
      <c r="L36" s="116"/>
      <c r="M36" s="116"/>
      <c r="N36" s="126"/>
      <c r="O36" s="125"/>
      <c r="P36"/>
      <c r="Q36" s="142"/>
      <c r="R36" s="142"/>
      <c r="S36" s="149"/>
      <c r="T36" s="148"/>
      <c r="U36" s="129"/>
      <c r="V36" s="116"/>
      <c r="W36" s="116"/>
      <c r="X36" s="126"/>
      <c r="Y36" s="125"/>
      <c r="Z36" s="125"/>
      <c r="AA36" s="116"/>
      <c r="AB36" s="116"/>
      <c r="AC36" s="126"/>
      <c r="AD36" s="125"/>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c r="BD36"/>
      <c r="BE36"/>
    </row>
    <row r="37" spans="1:57" ht="20.25" customHeight="1" x14ac:dyDescent="0.25">
      <c r="A37"/>
      <c r="B37"/>
      <c r="C37"/>
      <c r="D37" s="130"/>
      <c r="E37" s="129"/>
      <c r="F37" s="129"/>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1:57" ht="14.85" customHeight="1" x14ac:dyDescent="0.25">
      <c r="A38"/>
      <c r="B38"/>
      <c r="C38"/>
      <c r="D38" s="131"/>
      <c r="E38" s="132"/>
      <c r="F38" s="132"/>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57" ht="35.1" customHeight="1" x14ac:dyDescent="0.25">
      <c r="B39" s="380" t="s">
        <v>516</v>
      </c>
      <c r="C39" s="380"/>
      <c r="D39" s="380"/>
      <c r="E39" s="380"/>
      <c r="F39" s="380"/>
      <c r="G39" s="380"/>
      <c r="H39" s="380"/>
      <c r="I39" s="380"/>
      <c r="J39" s="380"/>
      <c r="K39" s="380"/>
      <c r="L39" s="380"/>
      <c r="M39" s="380"/>
      <c r="N39" s="380"/>
      <c r="O39" s="380"/>
      <c r="P39" s="380"/>
      <c r="Q39" s="380"/>
    </row>
    <row r="40" spans="1:57" ht="14.85" customHeight="1" x14ac:dyDescent="0.25">
      <c r="D40" s="133"/>
      <c r="E40" s="134"/>
      <c r="F40" s="134"/>
    </row>
  </sheetData>
  <mergeCells count="51">
    <mergeCell ref="B39:Q39"/>
    <mergeCell ref="C1:I1"/>
    <mergeCell ref="C27:D29"/>
    <mergeCell ref="C30:D30"/>
    <mergeCell ref="C32:D34"/>
    <mergeCell ref="M27:N29"/>
    <mergeCell ref="M30:N30"/>
    <mergeCell ref="M32:N34"/>
    <mergeCell ref="H32:I34"/>
    <mergeCell ref="C10:D10"/>
    <mergeCell ref="H10:I10"/>
    <mergeCell ref="L10:O10"/>
    <mergeCell ref="Q10:T10"/>
    <mergeCell ref="C24:D24"/>
    <mergeCell ref="H21:I21"/>
    <mergeCell ref="W19:X19"/>
    <mergeCell ref="C16:D16"/>
    <mergeCell ref="C18:D20"/>
    <mergeCell ref="M13:N15"/>
    <mergeCell ref="M16:N16"/>
    <mergeCell ref="M18:N20"/>
    <mergeCell ref="C13:D15"/>
    <mergeCell ref="H13:I15"/>
    <mergeCell ref="H16:I16"/>
    <mergeCell ref="H18:I20"/>
    <mergeCell ref="R13:S15"/>
    <mergeCell ref="R16:S16"/>
    <mergeCell ref="R18:S20"/>
    <mergeCell ref="V10:AD10"/>
    <mergeCell ref="V2:AD2"/>
    <mergeCell ref="V3:AD6"/>
    <mergeCell ref="V7:AD7"/>
    <mergeCell ref="W15:X18"/>
    <mergeCell ref="W33:X33"/>
    <mergeCell ref="H35:I35"/>
    <mergeCell ref="AA24:AD24"/>
    <mergeCell ref="AB29:AC32"/>
    <mergeCell ref="AB33:AC33"/>
    <mergeCell ref="R33:S33"/>
    <mergeCell ref="H24:I24"/>
    <mergeCell ref="L24:O24"/>
    <mergeCell ref="W29:X32"/>
    <mergeCell ref="H27:I29"/>
    <mergeCell ref="Q24:T24"/>
    <mergeCell ref="R29:S32"/>
    <mergeCell ref="H30:I30"/>
    <mergeCell ref="BF3:BF6"/>
    <mergeCell ref="L2:O2"/>
    <mergeCell ref="Q2:T2"/>
    <mergeCell ref="L3:O6"/>
    <mergeCell ref="Q3:T6"/>
  </mergeCells>
  <conditionalFormatting sqref="BF3:BF6">
    <cfRule type="cellIs" dxfId="8" priority="1" operator="equal">
      <formula>0</formula>
    </cfRule>
  </conditionalFormatting>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CF60-EFE7-4E91-97C7-4248CDA31EF4}">
  <dimension ref="A1:H15"/>
  <sheetViews>
    <sheetView showGridLines="0" zoomScale="130" zoomScaleNormal="130" workbookViewId="0">
      <selection activeCell="A15" sqref="A15:G15"/>
    </sheetView>
  </sheetViews>
  <sheetFormatPr defaultColWidth="8.7109375" defaultRowHeight="14.25" x14ac:dyDescent="0.2"/>
  <cols>
    <col min="1" max="1" width="29" style="9" customWidth="1"/>
    <col min="2" max="2" width="16" style="9" bestFit="1" customWidth="1"/>
    <col min="3" max="3" width="14.42578125" style="9" bestFit="1" customWidth="1"/>
    <col min="4" max="4" width="13.42578125" style="9" customWidth="1"/>
    <col min="5" max="6" width="14.42578125" style="9" bestFit="1" customWidth="1"/>
    <col min="7" max="7" width="17" style="9" customWidth="1"/>
    <col min="8" max="16384" width="8.7109375" style="9"/>
  </cols>
  <sheetData>
    <row r="1" spans="1:8" customFormat="1" ht="52.35" customHeight="1" thickBot="1" x14ac:dyDescent="0.3">
      <c r="A1" s="382" t="s">
        <v>36</v>
      </c>
      <c r="B1" s="383"/>
      <c r="C1" s="383"/>
      <c r="D1" s="383"/>
      <c r="E1" s="383"/>
      <c r="F1" s="383"/>
      <c r="G1" s="384"/>
    </row>
    <row r="2" spans="1:8" ht="49.35" customHeight="1" thickBot="1" x14ac:dyDescent="0.25">
      <c r="A2" s="313" t="s">
        <v>37</v>
      </c>
      <c r="B2" s="312"/>
      <c r="C2" s="312" t="s">
        <v>38</v>
      </c>
      <c r="D2" s="312" t="s">
        <v>39</v>
      </c>
      <c r="E2" s="312" t="s">
        <v>40</v>
      </c>
      <c r="F2" s="312" t="s">
        <v>41</v>
      </c>
      <c r="G2" s="312" t="s">
        <v>42</v>
      </c>
    </row>
    <row r="3" spans="1:8" ht="20.100000000000001" customHeight="1" x14ac:dyDescent="0.2">
      <c r="A3" s="97" t="s">
        <v>43</v>
      </c>
      <c r="B3" s="177">
        <f>'1 - Data Source Estimates'!E22</f>
        <v>5</v>
      </c>
      <c r="C3" s="177">
        <f>'1 - Data Source Estimates'!H22</f>
        <v>4.5</v>
      </c>
      <c r="D3" s="178">
        <f>'1 - Data Source Estimates'!K22</f>
        <v>0.25</v>
      </c>
      <c r="E3" s="99">
        <f>'1 - Data Source Estimates'!N22</f>
        <v>30</v>
      </c>
      <c r="F3" s="99">
        <f>'1 - Data Source Estimates'!Q22</f>
        <v>8</v>
      </c>
      <c r="G3" s="190">
        <f t="shared" ref="G3:G11" si="0">SUM(B3:F3)</f>
        <v>47.75</v>
      </c>
    </row>
    <row r="4" spans="1:8" ht="20.100000000000001" customHeight="1" thickBot="1" x14ac:dyDescent="0.25">
      <c r="A4" s="98" t="s">
        <v>44</v>
      </c>
      <c r="B4" s="100">
        <f>'4. Calculations'!C95</f>
        <v>0.43690751999999999</v>
      </c>
      <c r="C4" s="100">
        <f>'4. Calculations'!D95</f>
        <v>0.11059221599999998</v>
      </c>
      <c r="D4" s="100">
        <f>'4. Calculations'!E95</f>
        <v>3.876826060800001E-2</v>
      </c>
      <c r="E4" s="100">
        <f>'4. Calculations'!F95</f>
        <v>0.78994439999999977</v>
      </c>
      <c r="F4" s="100">
        <f>'4. Calculations'!G95</f>
        <v>0.21353855040000003</v>
      </c>
      <c r="G4" s="185">
        <f t="shared" si="0"/>
        <v>1.5897509470079998</v>
      </c>
    </row>
    <row r="5" spans="1:8" ht="21.75" customHeight="1" x14ac:dyDescent="0.2">
      <c r="A5" s="317" t="s">
        <v>45</v>
      </c>
      <c r="B5" s="320">
        <f>'4. Calculations'!C18</f>
        <v>750</v>
      </c>
      <c r="C5" s="320">
        <f>'4. Calculations'!D18</f>
        <v>1150</v>
      </c>
      <c r="D5" s="321">
        <f>'4. Calculations'!E11</f>
        <v>500</v>
      </c>
      <c r="E5" s="320">
        <f>'4. Calculations'!F11</f>
        <v>600</v>
      </c>
      <c r="F5" s="322">
        <f>'4. Calculations'!G11</f>
        <v>750</v>
      </c>
      <c r="G5" s="323">
        <f t="shared" si="0"/>
        <v>3750</v>
      </c>
    </row>
    <row r="6" spans="1:8" ht="21.75" customHeight="1" x14ac:dyDescent="0.2">
      <c r="A6" s="318" t="s">
        <v>46</v>
      </c>
      <c r="B6" s="324">
        <f>'4. Calculations'!C32</f>
        <v>450</v>
      </c>
      <c r="C6" s="324">
        <f>'4. Calculations'!D32</f>
        <v>1200</v>
      </c>
      <c r="D6" s="324">
        <f>'4. Calculations'!E32</f>
        <v>1800</v>
      </c>
      <c r="E6" s="324">
        <f>'4. Calculations'!F32</f>
        <v>600</v>
      </c>
      <c r="F6" s="324">
        <f>'4. Calculations'!G32</f>
        <v>600</v>
      </c>
      <c r="G6" s="325">
        <f t="shared" si="0"/>
        <v>4650</v>
      </c>
    </row>
    <row r="7" spans="1:8" ht="21.75" customHeight="1" x14ac:dyDescent="0.2">
      <c r="A7" s="318" t="s">
        <v>47</v>
      </c>
      <c r="B7" s="324">
        <f>'4. Calculations'!C50</f>
        <v>436.54399999999998</v>
      </c>
      <c r="C7" s="324">
        <f>'4. Calculations'!D50</f>
        <v>108.30644999999998</v>
      </c>
      <c r="D7" s="324">
        <f>'4. Calculations'!E50</f>
        <v>21.186457600000004</v>
      </c>
      <c r="E7" s="324">
        <f>'4. Calculations'!F50</f>
        <v>1195.4924999999998</v>
      </c>
      <c r="F7" s="324">
        <f>'4. Calculations'!G50</f>
        <v>164.08338000000001</v>
      </c>
      <c r="G7" s="325">
        <f t="shared" si="0"/>
        <v>1925.6127875999998</v>
      </c>
    </row>
    <row r="8" spans="1:8" ht="21.75" customHeight="1" x14ac:dyDescent="0.2">
      <c r="A8" s="318" t="s">
        <v>48</v>
      </c>
      <c r="B8" s="324">
        <f>'4. Calculations'!C61</f>
        <v>827.32799999999997</v>
      </c>
      <c r="C8" s="324">
        <f>'4. Calculations'!D61</f>
        <v>514.14239999999995</v>
      </c>
      <c r="D8" s="324">
        <f>'4. Calculations'!E61</f>
        <v>445.20837119999999</v>
      </c>
      <c r="E8" s="324">
        <f>'4. Calculations'!F61</f>
        <v>1166.1599999999999</v>
      </c>
      <c r="F8" s="324">
        <f>'4. Calculations'!G61</f>
        <v>612.94655999999998</v>
      </c>
      <c r="G8" s="325">
        <f t="shared" si="0"/>
        <v>3565.7853311999997</v>
      </c>
    </row>
    <row r="9" spans="1:8" ht="21.75" customHeight="1" x14ac:dyDescent="0.2">
      <c r="A9" s="318" t="s">
        <v>49</v>
      </c>
      <c r="B9" s="324">
        <f>'4. Calculations'!C91</f>
        <v>28853.798399999996</v>
      </c>
      <c r="C9" s="324">
        <f>'4. Calculations'!D91</f>
        <v>5991.7384799999991</v>
      </c>
      <c r="D9" s="324">
        <f>'4. Calculations'!E91</f>
        <v>4200.8251084800013</v>
      </c>
      <c r="E9" s="324">
        <f>'4. Calculations'!F91</f>
        <v>42798.131999999983</v>
      </c>
      <c r="F9" s="324">
        <f>'4. Calculations'!G91</f>
        <v>18803.058623999998</v>
      </c>
      <c r="G9" s="326">
        <f>SUM(B9:F9)</f>
        <v>100647.55261247998</v>
      </c>
      <c r="H9" s="257"/>
    </row>
    <row r="10" spans="1:8" ht="21.75" customHeight="1" x14ac:dyDescent="0.2">
      <c r="A10" s="318" t="s">
        <v>50</v>
      </c>
      <c r="B10" s="324">
        <f>'4. Calculations'!C101</f>
        <v>233.88624383999999</v>
      </c>
      <c r="C10" s="324">
        <f>'4. Calculations'!D101</f>
        <v>171.233705472</v>
      </c>
      <c r="D10" s="324">
        <f>'4. Calculations'!E101</f>
        <v>157.44350603673601</v>
      </c>
      <c r="E10" s="324">
        <f>'4. Calculations'!F101</f>
        <v>301.66932479999997</v>
      </c>
      <c r="F10" s="324">
        <f>'4. Calculations'!G101</f>
        <v>190.99940167680001</v>
      </c>
      <c r="G10" s="325">
        <f t="shared" si="0"/>
        <v>1055.2321818255361</v>
      </c>
    </row>
    <row r="11" spans="1:8" ht="21" customHeight="1" thickBot="1" x14ac:dyDescent="0.25">
      <c r="A11" s="319" t="s">
        <v>51</v>
      </c>
      <c r="B11" s="327">
        <f>'4. Calculations'!C117</f>
        <v>1295.527088</v>
      </c>
      <c r="C11" s="327">
        <f>'4. Calculations'!C117</f>
        <v>1295.527088</v>
      </c>
      <c r="D11" s="327">
        <f>'4. Calculations'!C117</f>
        <v>1295.527088</v>
      </c>
      <c r="E11" s="327">
        <f>'4. Calculations'!C117</f>
        <v>1295.527088</v>
      </c>
      <c r="F11" s="327">
        <f>'4. Calculations'!C117</f>
        <v>1295.527088</v>
      </c>
      <c r="G11" s="328">
        <f t="shared" si="0"/>
        <v>6477.63544</v>
      </c>
    </row>
    <row r="12" spans="1:8" ht="33" customHeight="1" thickTop="1" thickBot="1" x14ac:dyDescent="0.25">
      <c r="A12" s="314" t="s">
        <v>52</v>
      </c>
      <c r="B12" s="315">
        <f>SUM(B5:B11)</f>
        <v>32847.083731839994</v>
      </c>
      <c r="C12" s="315">
        <f t="shared" ref="C12:F12" si="1">SUM(C5:C11)</f>
        <v>10430.948123471999</v>
      </c>
      <c r="D12" s="315">
        <f t="shared" si="1"/>
        <v>8420.1905313167372</v>
      </c>
      <c r="E12" s="315">
        <f t="shared" si="1"/>
        <v>47956.980912799983</v>
      </c>
      <c r="F12" s="315">
        <f t="shared" si="1"/>
        <v>22416.615053676796</v>
      </c>
      <c r="G12" s="316">
        <f>SUM(G5:G11)</f>
        <v>122071.81835310551</v>
      </c>
    </row>
    <row r="15" spans="1:8" ht="27" customHeight="1" x14ac:dyDescent="0.2">
      <c r="A15" s="380" t="s">
        <v>515</v>
      </c>
      <c r="B15" s="380"/>
      <c r="C15" s="380"/>
      <c r="D15" s="380"/>
      <c r="E15" s="380"/>
      <c r="F15" s="380"/>
      <c r="G15" s="380"/>
    </row>
  </sheetData>
  <mergeCells count="2">
    <mergeCell ref="A1:G1"/>
    <mergeCell ref="A15:G15"/>
  </mergeCells>
  <conditionalFormatting sqref="A2:G2">
    <cfRule type="cellIs" dxfId="7" priority="1" operator="equal">
      <formula>"Highest"</formula>
    </cfRule>
    <cfRule type="cellIs" dxfId="6" priority="2" operator="equal">
      <formula>"High"</formula>
    </cfRule>
    <cfRule type="cellIs" dxfId="5" priority="3" operator="equal">
      <formula>"Medium"</formula>
    </cfRule>
    <cfRule type="cellIs" dxfId="4" priority="4" operator="equal">
      <formula>"Low"</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918C-0AE7-405C-89CE-65102F943B18}">
  <dimension ref="A1:G32"/>
  <sheetViews>
    <sheetView showGridLines="0" zoomScale="85" zoomScaleNormal="85" workbookViewId="0">
      <selection activeCell="A32" sqref="A32:F32"/>
    </sheetView>
  </sheetViews>
  <sheetFormatPr defaultColWidth="8.7109375" defaultRowHeight="15" x14ac:dyDescent="0.25"/>
  <cols>
    <col min="1" max="1" width="47.42578125" customWidth="1"/>
    <col min="2" max="2" width="18" customWidth="1"/>
    <col min="3" max="3" width="17.140625" bestFit="1" customWidth="1"/>
    <col min="4" max="4" width="15.42578125" bestFit="1" customWidth="1"/>
    <col min="5" max="6" width="17.140625" bestFit="1" customWidth="1"/>
    <col min="7" max="7" width="16.28515625" customWidth="1"/>
  </cols>
  <sheetData>
    <row r="1" spans="1:6" ht="55.35" customHeight="1" x14ac:dyDescent="0.25">
      <c r="A1" s="385" t="s">
        <v>53</v>
      </c>
      <c r="B1" s="385"/>
      <c r="C1" s="385"/>
      <c r="D1" s="385"/>
      <c r="E1" s="385"/>
      <c r="F1" s="385"/>
    </row>
    <row r="2" spans="1:6" ht="44.1" customHeight="1" x14ac:dyDescent="0.3">
      <c r="A2" s="305"/>
      <c r="B2" s="344" t="s">
        <v>54</v>
      </c>
      <c r="C2" s="344" t="s">
        <v>55</v>
      </c>
      <c r="D2" s="344" t="s">
        <v>56</v>
      </c>
      <c r="E2" s="344" t="s">
        <v>57</v>
      </c>
      <c r="F2" s="344" t="s">
        <v>58</v>
      </c>
    </row>
    <row r="3" spans="1:6" ht="17.100000000000001" customHeight="1" x14ac:dyDescent="0.25">
      <c r="A3" s="306" t="s">
        <v>59</v>
      </c>
      <c r="B3" s="329">
        <f>'4. Calculations'!C8</f>
        <v>0</v>
      </c>
      <c r="C3" s="330"/>
      <c r="D3" s="330"/>
      <c r="E3" s="330"/>
      <c r="F3" s="331"/>
    </row>
    <row r="4" spans="1:6" ht="17.100000000000001" customHeight="1" x14ac:dyDescent="0.25">
      <c r="A4" s="306" t="s">
        <v>60</v>
      </c>
      <c r="B4" s="329">
        <f>'4. Calculations'!C11</f>
        <v>750</v>
      </c>
      <c r="C4" s="329">
        <f>'4. Calculations'!D11</f>
        <v>1150</v>
      </c>
      <c r="D4" s="329">
        <f>'4. Calculations'!E11</f>
        <v>500</v>
      </c>
      <c r="E4" s="329">
        <f>'4. Calculations'!F11</f>
        <v>600</v>
      </c>
      <c r="F4" s="332">
        <f>'4. Calculations'!G11</f>
        <v>750</v>
      </c>
    </row>
    <row r="5" spans="1:6" ht="17.100000000000001" customHeight="1" x14ac:dyDescent="0.25">
      <c r="A5" s="306" t="s">
        <v>61</v>
      </c>
      <c r="B5" s="329">
        <f>'4. Calculations'!C14</f>
        <v>0</v>
      </c>
      <c r="C5" s="330"/>
      <c r="D5" s="330"/>
      <c r="E5" s="330"/>
      <c r="F5" s="331"/>
    </row>
    <row r="6" spans="1:6" ht="17.100000000000001" customHeight="1" x14ac:dyDescent="0.25">
      <c r="A6" s="306" t="s">
        <v>62</v>
      </c>
      <c r="B6" s="329">
        <f>'4. Calculations'!C17</f>
        <v>0</v>
      </c>
      <c r="C6" s="330"/>
      <c r="D6" s="330"/>
      <c r="E6" s="330"/>
      <c r="F6" s="331"/>
    </row>
    <row r="7" spans="1:6" ht="17.100000000000001" customHeight="1" x14ac:dyDescent="0.25">
      <c r="A7" s="307" t="s">
        <v>63</v>
      </c>
      <c r="B7" s="333">
        <f>'4. Calculations'!C18</f>
        <v>750</v>
      </c>
      <c r="C7" s="333">
        <f>'4. Calculations'!D18</f>
        <v>1150</v>
      </c>
      <c r="D7" s="333">
        <f>'4. Calculations'!E18</f>
        <v>500</v>
      </c>
      <c r="E7" s="333">
        <f>'4. Calculations'!F18</f>
        <v>600</v>
      </c>
      <c r="F7" s="334">
        <f>'4. Calculations'!G18</f>
        <v>750</v>
      </c>
    </row>
    <row r="8" spans="1:6" ht="17.100000000000001" customHeight="1" x14ac:dyDescent="0.25">
      <c r="A8" s="308" t="s">
        <v>64</v>
      </c>
      <c r="B8" s="335">
        <f>'4. Calculations'!C24</f>
        <v>5</v>
      </c>
      <c r="C8" s="335">
        <f>'4. Calculations'!D24</f>
        <v>4.5</v>
      </c>
      <c r="D8" s="335">
        <f>'4. Calculations'!E24</f>
        <v>0.25</v>
      </c>
      <c r="E8" s="335">
        <f>'4. Calculations'!F24</f>
        <v>30</v>
      </c>
      <c r="F8" s="336">
        <f>'4. Calculations'!G24</f>
        <v>8</v>
      </c>
    </row>
    <row r="9" spans="1:6" ht="17.100000000000001" customHeight="1" x14ac:dyDescent="0.25">
      <c r="A9" s="307" t="s">
        <v>65</v>
      </c>
      <c r="B9" s="337">
        <f>'4. Calculations'!C32</f>
        <v>450</v>
      </c>
      <c r="C9" s="337">
        <f>'4. Calculations'!D32</f>
        <v>1200</v>
      </c>
      <c r="D9" s="337">
        <f>'4. Calculations'!E32</f>
        <v>1800</v>
      </c>
      <c r="E9" s="337">
        <f>'4. Calculations'!F32</f>
        <v>600</v>
      </c>
      <c r="F9" s="338">
        <f>'4. Calculations'!G32</f>
        <v>600</v>
      </c>
    </row>
    <row r="10" spans="1:6" ht="17.100000000000001" customHeight="1" x14ac:dyDescent="0.25">
      <c r="A10" s="308" t="s">
        <v>66</v>
      </c>
      <c r="B10" s="329">
        <f>'4. Calculations'!C38</f>
        <v>200</v>
      </c>
      <c r="C10" s="329">
        <f>'4. Calculations'!D38</f>
        <v>59.062499999999993</v>
      </c>
      <c r="D10" s="329">
        <f>'4. Calculations'!E38</f>
        <v>6.160000000000001</v>
      </c>
      <c r="E10" s="329">
        <f>'4. Calculations'!F38</f>
        <v>843.75</v>
      </c>
      <c r="F10" s="332">
        <f>'4. Calculations'!G38</f>
        <v>69</v>
      </c>
    </row>
    <row r="11" spans="1:6" ht="17.100000000000001" customHeight="1" x14ac:dyDescent="0.25">
      <c r="A11" s="308" t="s">
        <v>67</v>
      </c>
      <c r="B11" s="329">
        <f>'4. Calculations'!C46</f>
        <v>167.99999999999997</v>
      </c>
      <c r="C11" s="329">
        <f>'4. Calculations'!D46</f>
        <v>31.89374999999999</v>
      </c>
      <c r="D11" s="329">
        <f>'4. Calculations'!E46</f>
        <v>8.9443200000000012</v>
      </c>
      <c r="E11" s="329">
        <f>'4. Calculations'!F46</f>
        <v>227.81249999999991</v>
      </c>
      <c r="F11" s="332">
        <f>'4. Calculations'!G46</f>
        <v>61.582499999999996</v>
      </c>
    </row>
    <row r="12" spans="1:6" ht="17.100000000000001" customHeight="1" x14ac:dyDescent="0.25">
      <c r="A12" s="308" t="s">
        <v>68</v>
      </c>
      <c r="B12" s="329">
        <f>'4. Calculations'!C49</f>
        <v>68.543999999999997</v>
      </c>
      <c r="C12" s="329">
        <f>'4. Calculations'!D49</f>
        <v>17.350199999999994</v>
      </c>
      <c r="D12" s="329">
        <f>'4. Calculations'!E49</f>
        <v>6.0821376000000011</v>
      </c>
      <c r="E12" s="329">
        <f>'4. Calculations'!F49</f>
        <v>123.92999999999996</v>
      </c>
      <c r="F12" s="332">
        <f>'4. Calculations'!G49</f>
        <v>33.500880000000002</v>
      </c>
    </row>
    <row r="13" spans="1:6" ht="17.100000000000001" customHeight="1" x14ac:dyDescent="0.25">
      <c r="A13" s="307" t="s">
        <v>69</v>
      </c>
      <c r="B13" s="337">
        <f>'4. Calculations'!C50</f>
        <v>436.54399999999998</v>
      </c>
      <c r="C13" s="337">
        <f>'4. Calculations'!D50</f>
        <v>108.30644999999998</v>
      </c>
      <c r="D13" s="337">
        <f>'4. Calculations'!E50</f>
        <v>21.186457600000004</v>
      </c>
      <c r="E13" s="337">
        <f>'4. Calculations'!F50</f>
        <v>1195.4924999999998</v>
      </c>
      <c r="F13" s="338">
        <f>'4. Calculations'!G50</f>
        <v>164.08338000000001</v>
      </c>
    </row>
    <row r="14" spans="1:6" ht="17.100000000000001" customHeight="1" x14ac:dyDescent="0.25">
      <c r="A14" s="308" t="s">
        <v>70</v>
      </c>
      <c r="B14" s="329">
        <f>'4. Calculations'!C56</f>
        <v>419.32799999999997</v>
      </c>
      <c r="C14" s="329">
        <f>'4. Calculations'!D56</f>
        <v>106.14239999999997</v>
      </c>
      <c r="D14" s="329">
        <f>'4. Calculations'!E56</f>
        <v>37.208371200000009</v>
      </c>
      <c r="E14" s="329">
        <f>'4. Calculations'!F56</f>
        <v>758.15999999999974</v>
      </c>
      <c r="F14" s="332">
        <f>'4. Calculations'!G56</f>
        <v>204.94656000000001</v>
      </c>
    </row>
    <row r="15" spans="1:6" ht="17.100000000000001" customHeight="1" x14ac:dyDescent="0.25">
      <c r="A15" s="308" t="s">
        <v>71</v>
      </c>
      <c r="B15" s="329">
        <f>'4. Calculations'!C59</f>
        <v>0</v>
      </c>
      <c r="C15" s="329">
        <f>'4. Calculations'!D59</f>
        <v>0</v>
      </c>
      <c r="D15" s="329">
        <f>'4. Calculations'!E59</f>
        <v>0</v>
      </c>
      <c r="E15" s="329">
        <f>'4. Calculations'!F59</f>
        <v>0</v>
      </c>
      <c r="F15" s="332">
        <f>'4. Calculations'!G59</f>
        <v>0</v>
      </c>
    </row>
    <row r="16" spans="1:6" ht="17.100000000000001" customHeight="1" x14ac:dyDescent="0.25">
      <c r="A16" s="307" t="s">
        <v>72</v>
      </c>
      <c r="B16" s="337">
        <f>'4. Calculations'!C61</f>
        <v>827.32799999999997</v>
      </c>
      <c r="C16" s="337">
        <f>'4. Calculations'!D61</f>
        <v>514.14239999999995</v>
      </c>
      <c r="D16" s="337">
        <f>'4. Calculations'!E61</f>
        <v>445.20837119999999</v>
      </c>
      <c r="E16" s="337">
        <f>'4. Calculations'!F61</f>
        <v>1166.1599999999999</v>
      </c>
      <c r="F16" s="338">
        <f>'4. Calculations'!G61</f>
        <v>612.94655999999998</v>
      </c>
    </row>
    <row r="17" spans="1:7" ht="17.100000000000001" customHeight="1" x14ac:dyDescent="0.25">
      <c r="A17" s="309" t="s">
        <v>73</v>
      </c>
      <c r="B17" s="329">
        <f>'4. Calculations'!C72</f>
        <v>7257.5999999999985</v>
      </c>
      <c r="C17" s="329">
        <f>'4. Calculations'!D72</f>
        <v>1530.8999999999994</v>
      </c>
      <c r="D17" s="329">
        <f>'4. Calculations'!E72</f>
        <v>1073.3184000000001</v>
      </c>
      <c r="E17" s="329">
        <f>'4. Calculations'!F72</f>
        <v>10934.999999999996</v>
      </c>
      <c r="F17" s="332">
        <f>'4. Calculations'!G72</f>
        <v>4729.5360000000001</v>
      </c>
    </row>
    <row r="18" spans="1:7" ht="17.100000000000001" customHeight="1" x14ac:dyDescent="0.25">
      <c r="A18" s="308" t="s">
        <v>74</v>
      </c>
      <c r="B18" s="329">
        <f>'4. Calculations'!C78</f>
        <v>19353.599999999999</v>
      </c>
      <c r="C18" s="329">
        <f>'4. Calculations'!D78</f>
        <v>4082.3999999999992</v>
      </c>
      <c r="D18" s="329">
        <f>'4. Calculations'!E78</f>
        <v>2862.1824000000006</v>
      </c>
      <c r="E18" s="329">
        <f>'4. Calculations'!F78</f>
        <v>29159.999999999993</v>
      </c>
      <c r="F18" s="332">
        <f>'4. Calculations'!G78</f>
        <v>12612.096</v>
      </c>
    </row>
    <row r="19" spans="1:7" ht="17.100000000000001" customHeight="1" x14ac:dyDescent="0.25">
      <c r="A19" s="308" t="s">
        <v>75</v>
      </c>
      <c r="B19" s="329">
        <f>'4. Calculations'!C85</f>
        <v>2177.2800000000002</v>
      </c>
      <c r="C19" s="329">
        <f>'4. Calculations'!D85</f>
        <v>367.41599999999994</v>
      </c>
      <c r="D19" s="329">
        <f>'4. Calculations'!E85</f>
        <v>257.59641600000009</v>
      </c>
      <c r="E19" s="329">
        <f>'4. Calculations'!F85</f>
        <v>2624.3999999999992</v>
      </c>
      <c r="F19" s="332">
        <f>'4. Calculations'!G85</f>
        <v>1418.8608000000004</v>
      </c>
    </row>
    <row r="20" spans="1:7" ht="17.100000000000001" customHeight="1" x14ac:dyDescent="0.25">
      <c r="A20" s="308" t="s">
        <v>76</v>
      </c>
      <c r="B20" s="329">
        <f>'4. Calculations'!C90</f>
        <v>65.318399999999997</v>
      </c>
      <c r="C20" s="329">
        <f>'4. Calculations'!D90</f>
        <v>11.022479999999998</v>
      </c>
      <c r="D20" s="329">
        <f>'4. Calculations'!E90</f>
        <v>7.7278924800000031</v>
      </c>
      <c r="E20" s="329">
        <f>'4. Calculations'!F90</f>
        <v>78.731999999999971</v>
      </c>
      <c r="F20" s="332">
        <f>'4. Calculations'!G90</f>
        <v>42.565824000000006</v>
      </c>
    </row>
    <row r="21" spans="1:7" ht="17.100000000000001" customHeight="1" x14ac:dyDescent="0.25">
      <c r="A21" s="307" t="s">
        <v>77</v>
      </c>
      <c r="B21" s="337">
        <f>'4. Calculations'!C91</f>
        <v>28853.798399999996</v>
      </c>
      <c r="C21" s="337">
        <f>'4. Calculations'!D91</f>
        <v>5991.7384799999991</v>
      </c>
      <c r="D21" s="337">
        <f>'4. Calculations'!E91</f>
        <v>4200.8251084800013</v>
      </c>
      <c r="E21" s="337">
        <f>'4. Calculations'!F91</f>
        <v>42798.131999999983</v>
      </c>
      <c r="F21" s="338">
        <f>'4. Calculations'!G91</f>
        <v>18803.058623999998</v>
      </c>
    </row>
    <row r="22" spans="1:7" ht="17.100000000000001" customHeight="1" x14ac:dyDescent="0.25">
      <c r="A22" s="308" t="s">
        <v>78</v>
      </c>
      <c r="B22" s="329">
        <f>'4. Calculations'!C97</f>
        <v>83.886243839999992</v>
      </c>
      <c r="C22" s="329">
        <f>'4. Calculations'!D97</f>
        <v>21.233705471999997</v>
      </c>
      <c r="D22" s="329">
        <f>'4. Calculations'!E97</f>
        <v>7.443506036736002</v>
      </c>
      <c r="E22" s="329">
        <f>'4. Calculations'!F97</f>
        <v>151.66932479999997</v>
      </c>
      <c r="F22" s="332">
        <f>'4. Calculations'!G97</f>
        <v>40.999401676800005</v>
      </c>
    </row>
    <row r="23" spans="1:7" ht="17.100000000000001" customHeight="1" x14ac:dyDescent="0.25">
      <c r="A23" s="308" t="s">
        <v>79</v>
      </c>
      <c r="B23" s="329">
        <f>'4. Calculations'!C100</f>
        <v>150</v>
      </c>
      <c r="C23" s="329">
        <f>'4. Calculations'!D100</f>
        <v>150</v>
      </c>
      <c r="D23" s="329">
        <f>'4. Calculations'!E100</f>
        <v>150</v>
      </c>
      <c r="E23" s="329">
        <f>'4. Calculations'!F100</f>
        <v>150</v>
      </c>
      <c r="F23" s="332">
        <f>'4. Calculations'!G100</f>
        <v>150</v>
      </c>
    </row>
    <row r="24" spans="1:7" ht="17.100000000000001" customHeight="1" x14ac:dyDescent="0.25">
      <c r="A24" s="307" t="s">
        <v>80</v>
      </c>
      <c r="B24" s="337">
        <f>'4. Calculations'!C101</f>
        <v>233.88624383999999</v>
      </c>
      <c r="C24" s="337">
        <f>'4. Calculations'!D101</f>
        <v>171.233705472</v>
      </c>
      <c r="D24" s="337">
        <f>'4. Calculations'!E101</f>
        <v>157.44350603673601</v>
      </c>
      <c r="E24" s="337">
        <f>'4. Calculations'!F101</f>
        <v>301.66932479999997</v>
      </c>
      <c r="F24" s="338">
        <f>'4. Calculations'!G101</f>
        <v>190.99940167680001</v>
      </c>
    </row>
    <row r="25" spans="1:7" ht="17.100000000000001" customHeight="1" x14ac:dyDescent="0.25">
      <c r="A25" s="308" t="s">
        <v>81</v>
      </c>
      <c r="B25" s="329">
        <f>'4. Calculations'!C106</f>
        <v>0</v>
      </c>
      <c r="C25" s="329">
        <f>'4. Calculations'!D106</f>
        <v>0</v>
      </c>
      <c r="D25" s="329">
        <f>'4. Calculations'!E106</f>
        <v>0</v>
      </c>
      <c r="E25" s="329">
        <f>'4. Calculations'!F106</f>
        <v>0</v>
      </c>
      <c r="F25" s="332">
        <f>'4. Calculations'!G106</f>
        <v>0</v>
      </c>
    </row>
    <row r="26" spans="1:7" ht="17.100000000000001" customHeight="1" x14ac:dyDescent="0.25">
      <c r="A26" s="308" t="s">
        <v>82</v>
      </c>
      <c r="B26" s="329">
        <f>'4. Calculations'!C109</f>
        <v>0</v>
      </c>
      <c r="C26" s="329">
        <f>'4. Calculations'!D109</f>
        <v>0</v>
      </c>
      <c r="D26" s="329">
        <f>'4. Calculations'!E109</f>
        <v>0</v>
      </c>
      <c r="E26" s="329">
        <f>'4. Calculations'!F109</f>
        <v>0</v>
      </c>
      <c r="F26" s="332">
        <f>'4. Calculations'!G109</f>
        <v>0</v>
      </c>
    </row>
    <row r="27" spans="1:7" ht="17.100000000000001" customHeight="1" x14ac:dyDescent="0.25">
      <c r="A27" s="308" t="s">
        <v>83</v>
      </c>
      <c r="B27" s="329">
        <f>'4. Calculations'!C112</f>
        <v>0</v>
      </c>
      <c r="C27" s="329">
        <f>'4. Calculations'!D112</f>
        <v>0</v>
      </c>
      <c r="D27" s="329">
        <f>'4. Calculations'!E112</f>
        <v>0</v>
      </c>
      <c r="E27" s="329">
        <f>'4. Calculations'!F112</f>
        <v>0</v>
      </c>
      <c r="F27" s="332">
        <f>'4. Calculations'!G112</f>
        <v>0</v>
      </c>
    </row>
    <row r="28" spans="1:7" ht="17.100000000000001" customHeight="1" x14ac:dyDescent="0.25">
      <c r="A28" s="308" t="s">
        <v>84</v>
      </c>
      <c r="B28" s="329">
        <f>'4. Calculations'!C114</f>
        <v>0</v>
      </c>
      <c r="C28" s="329">
        <f>'4. Calculations'!D114</f>
        <v>0</v>
      </c>
      <c r="D28" s="329">
        <f>'4. Calculations'!E114</f>
        <v>0</v>
      </c>
      <c r="E28" s="329">
        <f>'4. Calculations'!F114</f>
        <v>0</v>
      </c>
      <c r="F28" s="332">
        <f>'4. Calculations'!G114</f>
        <v>0</v>
      </c>
    </row>
    <row r="29" spans="1:7" ht="17.100000000000001" customHeight="1" thickBot="1" x14ac:dyDescent="0.3">
      <c r="A29" s="310" t="s">
        <v>85</v>
      </c>
      <c r="B29" s="339">
        <f>'4. Calculations'!C117</f>
        <v>1295.527088</v>
      </c>
      <c r="C29" s="339">
        <f>'4. Calculations'!D117</f>
        <v>1295.527088</v>
      </c>
      <c r="D29" s="339">
        <f>'4. Calculations'!E117</f>
        <v>1295.527088</v>
      </c>
      <c r="E29" s="339">
        <f>'4. Calculations'!F117</f>
        <v>1295.527088</v>
      </c>
      <c r="F29" s="340">
        <f>'4. Calculations'!G117</f>
        <v>1295.527088</v>
      </c>
    </row>
    <row r="30" spans="1:7" ht="33" customHeight="1" thickBot="1" x14ac:dyDescent="0.3">
      <c r="A30" s="341" t="s">
        <v>86</v>
      </c>
      <c r="B30" s="342">
        <f>B29+B24+B21+B16+B13+B9+B7</f>
        <v>32847.083731840001</v>
      </c>
      <c r="C30" s="342">
        <f t="shared" ref="C30:F30" si="0">C29+C24+C21+C16+C13+C9+C7</f>
        <v>10430.948123471999</v>
      </c>
      <c r="D30" s="342">
        <f t="shared" si="0"/>
        <v>8420.1905313167372</v>
      </c>
      <c r="E30" s="342">
        <f t="shared" si="0"/>
        <v>47956.980912799983</v>
      </c>
      <c r="F30" s="342">
        <f t="shared" si="0"/>
        <v>22416.615053676796</v>
      </c>
    </row>
    <row r="32" spans="1:7" ht="31.35" customHeight="1" x14ac:dyDescent="0.25">
      <c r="A32" s="380" t="s">
        <v>517</v>
      </c>
      <c r="B32" s="380"/>
      <c r="C32" s="380"/>
      <c r="D32" s="380"/>
      <c r="E32" s="380"/>
      <c r="F32" s="380"/>
      <c r="G32" s="343"/>
    </row>
  </sheetData>
  <mergeCells count="2">
    <mergeCell ref="A1:F1"/>
    <mergeCell ref="A32:F32"/>
  </mergeCells>
  <conditionalFormatting sqref="B2:F2">
    <cfRule type="cellIs" dxfId="3" priority="1" operator="equal">
      <formula>"Highest"</formula>
    </cfRule>
    <cfRule type="cellIs" dxfId="2" priority="2" operator="equal">
      <formula>"High"</formula>
    </cfRule>
    <cfRule type="cellIs" dxfId="1" priority="3" operator="equal">
      <formula>"Medium"</formula>
    </cfRule>
    <cfRule type="cellIs" dxfId="0" priority="4" operator="equal">
      <formula>"Low"</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C484-A22A-4446-8323-941D2956B0DC}">
  <dimension ref="A1:AT25"/>
  <sheetViews>
    <sheetView showGridLines="0" zoomScale="91" zoomScaleNormal="91" workbookViewId="0">
      <selection activeCell="A25" sqref="A25:U25"/>
    </sheetView>
  </sheetViews>
  <sheetFormatPr defaultColWidth="9.140625" defaultRowHeight="14.25" x14ac:dyDescent="0.2"/>
  <cols>
    <col min="1" max="1" width="20.7109375" style="22" customWidth="1"/>
    <col min="2" max="2" width="20.28515625" style="22" customWidth="1"/>
    <col min="3" max="3" width="11.7109375" style="28" customWidth="1"/>
    <col min="4" max="4" width="12.28515625" style="34" customWidth="1"/>
    <col min="5" max="5" width="12.28515625" style="20" customWidth="1"/>
    <col min="6" max="6" width="12.28515625" style="28" customWidth="1"/>
    <col min="7" max="8" width="12.28515625" style="20" customWidth="1"/>
    <col min="9" max="9" width="11.7109375" style="28" customWidth="1"/>
    <col min="10" max="10" width="12.28515625" style="20" customWidth="1"/>
    <col min="11" max="11" width="11.42578125" style="20" customWidth="1"/>
    <col min="12" max="12" width="12" style="28" customWidth="1"/>
    <col min="13" max="14" width="12.28515625" style="20" customWidth="1"/>
    <col min="15" max="15" width="12.42578125" style="28" customWidth="1"/>
    <col min="16" max="17" width="12.28515625" style="20" customWidth="1"/>
    <col min="18" max="18" width="12" style="28" customWidth="1"/>
    <col min="19" max="20" width="12.28515625" style="20" customWidth="1"/>
    <col min="21" max="21" width="17" style="20" customWidth="1"/>
    <col min="22" max="40" width="9.140625" style="21"/>
    <col min="41" max="16384" width="9.140625" style="22"/>
  </cols>
  <sheetData>
    <row r="1" spans="1:46" ht="51" customHeight="1" thickBot="1" x14ac:dyDescent="0.3">
      <c r="A1" s="386" t="s">
        <v>87</v>
      </c>
      <c r="B1" s="387"/>
      <c r="C1" s="387"/>
      <c r="D1" s="387"/>
      <c r="E1" s="387"/>
      <c r="F1" s="387"/>
      <c r="G1" s="387"/>
      <c r="H1" s="387"/>
      <c r="I1" s="387"/>
      <c r="J1" s="387"/>
      <c r="K1" s="387"/>
      <c r="L1" s="387"/>
      <c r="M1" s="387"/>
      <c r="N1" s="387"/>
      <c r="O1" s="387"/>
      <c r="P1" s="387"/>
      <c r="Q1" s="387"/>
      <c r="R1" s="387"/>
      <c r="S1" s="387"/>
      <c r="T1" s="387"/>
      <c r="U1" s="388"/>
      <c r="V1" s="20"/>
      <c r="W1" s="20"/>
      <c r="X1" s="20"/>
      <c r="Y1" s="20"/>
      <c r="Z1" s="20"/>
      <c r="AA1" s="20"/>
      <c r="AO1" s="21"/>
      <c r="AP1" s="21"/>
      <c r="AQ1" s="21"/>
      <c r="AR1" s="21"/>
      <c r="AS1" s="21"/>
      <c r="AT1" s="21"/>
    </row>
    <row r="2" spans="1:46" ht="27.6" customHeight="1" thickBot="1" x14ac:dyDescent="0.3">
      <c r="A2" s="284"/>
      <c r="B2" s="284"/>
      <c r="C2" s="382" t="s">
        <v>88</v>
      </c>
      <c r="D2" s="383"/>
      <c r="E2" s="384"/>
      <c r="F2" s="382" t="s">
        <v>55</v>
      </c>
      <c r="G2" s="383"/>
      <c r="H2" s="384"/>
      <c r="I2" s="382" t="s">
        <v>89</v>
      </c>
      <c r="J2" s="383"/>
      <c r="K2" s="384"/>
      <c r="L2" s="382" t="s">
        <v>90</v>
      </c>
      <c r="M2" s="383"/>
      <c r="N2" s="384"/>
      <c r="O2" s="382" t="s">
        <v>58</v>
      </c>
      <c r="P2" s="383"/>
      <c r="Q2" s="384"/>
      <c r="R2" s="382" t="s">
        <v>91</v>
      </c>
      <c r="S2" s="383"/>
      <c r="T2" s="384"/>
      <c r="U2" s="284"/>
      <c r="V2" s="20"/>
      <c r="W2" s="20"/>
      <c r="X2" s="20"/>
      <c r="Y2" s="20"/>
      <c r="Z2" s="20"/>
      <c r="AA2" s="20"/>
      <c r="AO2" s="21"/>
      <c r="AP2" s="21"/>
      <c r="AQ2" s="21"/>
      <c r="AR2" s="21"/>
      <c r="AS2" s="21"/>
      <c r="AT2" s="21"/>
    </row>
    <row r="3" spans="1:46" s="24" customFormat="1" ht="30.75" thickBot="1" x14ac:dyDescent="0.3">
      <c r="A3" s="31" t="s">
        <v>92</v>
      </c>
      <c r="B3" s="74" t="s">
        <v>93</v>
      </c>
      <c r="C3" s="285" t="s">
        <v>94</v>
      </c>
      <c r="D3" s="33" t="s">
        <v>95</v>
      </c>
      <c r="E3" s="33" t="s">
        <v>96</v>
      </c>
      <c r="F3" s="32" t="s">
        <v>94</v>
      </c>
      <c r="G3" s="75" t="s">
        <v>95</v>
      </c>
      <c r="H3" s="75" t="s">
        <v>96</v>
      </c>
      <c r="I3" s="285" t="s">
        <v>94</v>
      </c>
      <c r="J3" s="33" t="s">
        <v>95</v>
      </c>
      <c r="K3" s="33" t="s">
        <v>96</v>
      </c>
      <c r="L3" s="32" t="s">
        <v>94</v>
      </c>
      <c r="M3" s="75" t="s">
        <v>95</v>
      </c>
      <c r="N3" s="75" t="s">
        <v>96</v>
      </c>
      <c r="O3" s="285" t="s">
        <v>94</v>
      </c>
      <c r="P3" s="33" t="s">
        <v>95</v>
      </c>
      <c r="Q3" s="33" t="s">
        <v>96</v>
      </c>
      <c r="R3" s="32" t="s">
        <v>94</v>
      </c>
      <c r="S3" s="75" t="s">
        <v>95</v>
      </c>
      <c r="T3" s="75" t="s">
        <v>96</v>
      </c>
      <c r="U3" s="35" t="s">
        <v>97</v>
      </c>
      <c r="V3" s="23"/>
      <c r="W3" s="23"/>
      <c r="X3" s="23"/>
      <c r="Y3" s="23"/>
      <c r="Z3" s="23"/>
      <c r="AA3" s="23"/>
      <c r="AB3" s="23"/>
      <c r="AC3" s="23"/>
      <c r="AD3" s="23"/>
      <c r="AE3" s="23"/>
      <c r="AF3" s="23"/>
      <c r="AG3" s="23"/>
      <c r="AH3" s="23"/>
      <c r="AI3" s="23"/>
      <c r="AJ3" s="23"/>
      <c r="AK3" s="23"/>
      <c r="AL3" s="23"/>
      <c r="AM3" s="23"/>
      <c r="AN3" s="23"/>
    </row>
    <row r="4" spans="1:46" x14ac:dyDescent="0.2">
      <c r="B4" s="29"/>
      <c r="C4" s="286">
        <v>1</v>
      </c>
      <c r="D4" s="258">
        <v>5</v>
      </c>
      <c r="E4" s="259">
        <f>C4*D4</f>
        <v>5</v>
      </c>
      <c r="F4" s="30">
        <v>1</v>
      </c>
      <c r="G4" s="167">
        <v>4.5</v>
      </c>
      <c r="H4" s="189">
        <f>C4*G4</f>
        <v>4.5</v>
      </c>
      <c r="I4" s="286">
        <v>1</v>
      </c>
      <c r="J4" s="259">
        <v>0.25</v>
      </c>
      <c r="K4" s="259">
        <f>C4*J4</f>
        <v>0.25</v>
      </c>
      <c r="L4" s="30">
        <v>1</v>
      </c>
      <c r="M4" s="167">
        <v>30</v>
      </c>
      <c r="N4" s="167">
        <f>C4*M4</f>
        <v>30</v>
      </c>
      <c r="O4" s="286">
        <v>1</v>
      </c>
      <c r="P4" s="259">
        <v>8</v>
      </c>
      <c r="Q4" s="259">
        <f>C4*P4</f>
        <v>8</v>
      </c>
      <c r="R4" s="30">
        <v>1</v>
      </c>
      <c r="S4" s="189">
        <v>0</v>
      </c>
      <c r="T4" s="189">
        <f>E4*S4</f>
        <v>0</v>
      </c>
      <c r="U4" s="36">
        <f>E4+H4+K4+N4+Q4</f>
        <v>47.75</v>
      </c>
    </row>
    <row r="5" spans="1:46" x14ac:dyDescent="0.2">
      <c r="A5" s="25"/>
      <c r="B5" s="29"/>
      <c r="C5" s="287"/>
      <c r="D5" s="258"/>
      <c r="E5" s="259">
        <f t="shared" ref="E5:E21" si="0">C5*D5</f>
        <v>0</v>
      </c>
      <c r="F5" s="26"/>
      <c r="G5" s="261">
        <v>4.5</v>
      </c>
      <c r="H5" s="189">
        <f>C5*G5</f>
        <v>0</v>
      </c>
      <c r="I5" s="287"/>
      <c r="J5" s="262"/>
      <c r="K5" s="259">
        <f t="shared" ref="K5:K21" si="1">C5*J5</f>
        <v>0</v>
      </c>
      <c r="L5" s="26"/>
      <c r="M5" s="261"/>
      <c r="N5" s="167">
        <f t="shared" ref="N5:N21" si="2">C5*M5</f>
        <v>0</v>
      </c>
      <c r="O5" s="287"/>
      <c r="P5" s="262"/>
      <c r="Q5" s="259">
        <f t="shared" ref="Q5:Q21" si="3">C5*P5</f>
        <v>0</v>
      </c>
      <c r="R5" s="26"/>
      <c r="S5" s="189"/>
      <c r="T5" s="189">
        <f t="shared" ref="T5:T22" si="4">E5*S5</f>
        <v>0</v>
      </c>
      <c r="U5" s="36">
        <f t="shared" ref="U5:U21" si="5">E5+H5+K5+N5+Q5</f>
        <v>0</v>
      </c>
    </row>
    <row r="6" spans="1:46" x14ac:dyDescent="0.2">
      <c r="A6" s="25"/>
      <c r="B6" s="25"/>
      <c r="C6" s="287"/>
      <c r="D6" s="258"/>
      <c r="E6" s="259">
        <f t="shared" si="0"/>
        <v>0</v>
      </c>
      <c r="F6" s="26"/>
      <c r="G6" s="27"/>
      <c r="H6" s="189">
        <f>C6*G5</f>
        <v>0</v>
      </c>
      <c r="I6" s="287"/>
      <c r="J6" s="262"/>
      <c r="K6" s="259">
        <f t="shared" si="1"/>
        <v>0</v>
      </c>
      <c r="L6" s="26"/>
      <c r="M6" s="261"/>
      <c r="N6" s="167">
        <f t="shared" si="2"/>
        <v>0</v>
      </c>
      <c r="O6" s="287"/>
      <c r="P6" s="262"/>
      <c r="Q6" s="259">
        <f t="shared" si="3"/>
        <v>0</v>
      </c>
      <c r="R6" s="26"/>
      <c r="S6" s="189"/>
      <c r="T6" s="189">
        <f t="shared" si="4"/>
        <v>0</v>
      </c>
      <c r="U6" s="36">
        <f t="shared" si="5"/>
        <v>0</v>
      </c>
    </row>
    <row r="7" spans="1:46" x14ac:dyDescent="0.2">
      <c r="B7" s="25"/>
      <c r="C7" s="287"/>
      <c r="D7" s="258"/>
      <c r="E7" s="259">
        <f t="shared" si="0"/>
        <v>0</v>
      </c>
      <c r="F7" s="26"/>
      <c r="G7" s="261"/>
      <c r="H7" s="189">
        <f t="shared" ref="H7:H21" si="6">C7*G7</f>
        <v>0</v>
      </c>
      <c r="I7" s="287"/>
      <c r="J7" s="262"/>
      <c r="K7" s="259">
        <f t="shared" si="1"/>
        <v>0</v>
      </c>
      <c r="L7" s="26"/>
      <c r="M7" s="261"/>
      <c r="N7" s="167">
        <f t="shared" si="2"/>
        <v>0</v>
      </c>
      <c r="O7" s="287"/>
      <c r="P7" s="262"/>
      <c r="Q7" s="259">
        <f t="shared" si="3"/>
        <v>0</v>
      </c>
      <c r="R7" s="26"/>
      <c r="S7" s="189"/>
      <c r="T7" s="189">
        <f t="shared" si="4"/>
        <v>0</v>
      </c>
      <c r="U7" s="36">
        <f t="shared" si="5"/>
        <v>0</v>
      </c>
    </row>
    <row r="8" spans="1:46" x14ac:dyDescent="0.2">
      <c r="B8" s="25"/>
      <c r="C8" s="287"/>
      <c r="D8" s="258"/>
      <c r="E8" s="259">
        <f t="shared" si="0"/>
        <v>0</v>
      </c>
      <c r="F8" s="26"/>
      <c r="G8" s="261"/>
      <c r="H8" s="189">
        <f t="shared" si="6"/>
        <v>0</v>
      </c>
      <c r="I8" s="287"/>
      <c r="J8" s="262"/>
      <c r="K8" s="259">
        <f t="shared" si="1"/>
        <v>0</v>
      </c>
      <c r="L8" s="26"/>
      <c r="M8" s="261"/>
      <c r="N8" s="167">
        <f t="shared" si="2"/>
        <v>0</v>
      </c>
      <c r="O8" s="287"/>
      <c r="P8" s="262"/>
      <c r="Q8" s="259">
        <f t="shared" si="3"/>
        <v>0</v>
      </c>
      <c r="R8" s="26"/>
      <c r="S8" s="189"/>
      <c r="T8" s="189">
        <f t="shared" si="4"/>
        <v>0</v>
      </c>
      <c r="U8" s="36">
        <f t="shared" si="5"/>
        <v>0</v>
      </c>
    </row>
    <row r="9" spans="1:46" x14ac:dyDescent="0.2">
      <c r="A9" s="25"/>
      <c r="B9" s="25"/>
      <c r="C9" s="287"/>
      <c r="D9" s="263"/>
      <c r="E9" s="259">
        <f t="shared" si="0"/>
        <v>0</v>
      </c>
      <c r="F9" s="26"/>
      <c r="G9" s="261"/>
      <c r="H9" s="189">
        <f t="shared" si="6"/>
        <v>0</v>
      </c>
      <c r="I9" s="287"/>
      <c r="J9" s="262"/>
      <c r="K9" s="259">
        <f t="shared" si="1"/>
        <v>0</v>
      </c>
      <c r="L9" s="26"/>
      <c r="M9" s="261"/>
      <c r="N9" s="167">
        <f t="shared" si="2"/>
        <v>0</v>
      </c>
      <c r="O9" s="287"/>
      <c r="P9" s="262"/>
      <c r="Q9" s="259">
        <f t="shared" si="3"/>
        <v>0</v>
      </c>
      <c r="R9" s="26"/>
      <c r="S9" s="189"/>
      <c r="T9" s="189">
        <f t="shared" si="4"/>
        <v>0</v>
      </c>
      <c r="U9" s="36">
        <f t="shared" si="5"/>
        <v>0</v>
      </c>
    </row>
    <row r="10" spans="1:46" x14ac:dyDescent="0.2">
      <c r="A10" s="25"/>
      <c r="C10" s="287"/>
      <c r="D10" s="263"/>
      <c r="E10" s="259">
        <f t="shared" si="0"/>
        <v>0</v>
      </c>
      <c r="F10" s="26"/>
      <c r="G10" s="260"/>
      <c r="H10" s="189">
        <f t="shared" si="6"/>
        <v>0</v>
      </c>
      <c r="I10" s="287"/>
      <c r="J10" s="264"/>
      <c r="K10" s="259">
        <f t="shared" si="1"/>
        <v>0</v>
      </c>
      <c r="L10" s="26"/>
      <c r="M10" s="260"/>
      <c r="N10" s="167">
        <f t="shared" si="2"/>
        <v>0</v>
      </c>
      <c r="O10" s="287"/>
      <c r="P10" s="264"/>
      <c r="Q10" s="259">
        <f t="shared" si="3"/>
        <v>0</v>
      </c>
      <c r="R10" s="26"/>
      <c r="S10" s="189"/>
      <c r="T10" s="189">
        <f t="shared" si="4"/>
        <v>0</v>
      </c>
      <c r="U10" s="36">
        <f t="shared" si="5"/>
        <v>0</v>
      </c>
    </row>
    <row r="11" spans="1:46" x14ac:dyDescent="0.2">
      <c r="A11" s="25"/>
      <c r="B11" s="25"/>
      <c r="C11" s="287"/>
      <c r="D11" s="263"/>
      <c r="E11" s="259">
        <f t="shared" si="0"/>
        <v>0</v>
      </c>
      <c r="F11" s="26"/>
      <c r="G11" s="260"/>
      <c r="H11" s="189">
        <f t="shared" si="6"/>
        <v>0</v>
      </c>
      <c r="I11" s="287"/>
      <c r="J11" s="264"/>
      <c r="K11" s="259">
        <f t="shared" si="1"/>
        <v>0</v>
      </c>
      <c r="L11" s="26"/>
      <c r="M11" s="260"/>
      <c r="N11" s="167">
        <f t="shared" si="2"/>
        <v>0</v>
      </c>
      <c r="O11" s="287"/>
      <c r="P11" s="264"/>
      <c r="Q11" s="259">
        <f t="shared" si="3"/>
        <v>0</v>
      </c>
      <c r="R11" s="26"/>
      <c r="S11" s="189"/>
      <c r="T11" s="189">
        <f t="shared" si="4"/>
        <v>0</v>
      </c>
      <c r="U11" s="36">
        <f t="shared" si="5"/>
        <v>0</v>
      </c>
    </row>
    <row r="12" spans="1:46" x14ac:dyDescent="0.2">
      <c r="A12" s="25"/>
      <c r="B12" s="25"/>
      <c r="C12" s="287"/>
      <c r="D12" s="263"/>
      <c r="E12" s="259">
        <f t="shared" si="0"/>
        <v>0</v>
      </c>
      <c r="F12" s="26"/>
      <c r="G12" s="260"/>
      <c r="H12" s="189">
        <f t="shared" si="6"/>
        <v>0</v>
      </c>
      <c r="I12" s="287"/>
      <c r="J12" s="264"/>
      <c r="K12" s="259">
        <f t="shared" si="1"/>
        <v>0</v>
      </c>
      <c r="L12" s="26"/>
      <c r="M12" s="260"/>
      <c r="N12" s="167">
        <f t="shared" si="2"/>
        <v>0</v>
      </c>
      <c r="O12" s="287"/>
      <c r="P12" s="264"/>
      <c r="Q12" s="259">
        <f t="shared" si="3"/>
        <v>0</v>
      </c>
      <c r="R12" s="26"/>
      <c r="S12" s="189"/>
      <c r="T12" s="189">
        <f t="shared" si="4"/>
        <v>0</v>
      </c>
      <c r="U12" s="36">
        <f t="shared" si="5"/>
        <v>0</v>
      </c>
    </row>
    <row r="13" spans="1:46" x14ac:dyDescent="0.2">
      <c r="A13" s="25"/>
      <c r="B13" s="25"/>
      <c r="C13" s="287"/>
      <c r="D13" s="263"/>
      <c r="E13" s="259">
        <f t="shared" si="0"/>
        <v>0</v>
      </c>
      <c r="F13" s="26"/>
      <c r="G13" s="260"/>
      <c r="H13" s="189">
        <f t="shared" si="6"/>
        <v>0</v>
      </c>
      <c r="I13" s="287"/>
      <c r="J13" s="264"/>
      <c r="K13" s="259">
        <f t="shared" si="1"/>
        <v>0</v>
      </c>
      <c r="L13" s="26"/>
      <c r="M13" s="260"/>
      <c r="N13" s="167">
        <f t="shared" si="2"/>
        <v>0</v>
      </c>
      <c r="O13" s="287"/>
      <c r="P13" s="264"/>
      <c r="Q13" s="259">
        <f t="shared" si="3"/>
        <v>0</v>
      </c>
      <c r="R13" s="26"/>
      <c r="S13" s="189"/>
      <c r="T13" s="189">
        <f t="shared" si="4"/>
        <v>0</v>
      </c>
      <c r="U13" s="36">
        <f t="shared" si="5"/>
        <v>0</v>
      </c>
    </row>
    <row r="14" spans="1:46" x14ac:dyDescent="0.2">
      <c r="A14" s="25"/>
      <c r="B14" s="25"/>
      <c r="C14" s="287"/>
      <c r="D14" s="263"/>
      <c r="E14" s="259">
        <f t="shared" si="0"/>
        <v>0</v>
      </c>
      <c r="F14" s="26"/>
      <c r="G14" s="260"/>
      <c r="H14" s="189">
        <f t="shared" si="6"/>
        <v>0</v>
      </c>
      <c r="I14" s="287"/>
      <c r="J14" s="264"/>
      <c r="K14" s="259">
        <f t="shared" si="1"/>
        <v>0</v>
      </c>
      <c r="L14" s="26"/>
      <c r="M14" s="260"/>
      <c r="N14" s="167">
        <f t="shared" si="2"/>
        <v>0</v>
      </c>
      <c r="O14" s="287"/>
      <c r="P14" s="264"/>
      <c r="Q14" s="259">
        <f t="shared" si="3"/>
        <v>0</v>
      </c>
      <c r="R14" s="26"/>
      <c r="S14" s="189"/>
      <c r="T14" s="189">
        <f t="shared" si="4"/>
        <v>0</v>
      </c>
      <c r="U14" s="36">
        <f t="shared" si="5"/>
        <v>0</v>
      </c>
    </row>
    <row r="15" spans="1:46" x14ac:dyDescent="0.2">
      <c r="A15" s="25"/>
      <c r="B15" s="25"/>
      <c r="C15" s="287"/>
      <c r="D15" s="263"/>
      <c r="E15" s="259">
        <f t="shared" si="0"/>
        <v>0</v>
      </c>
      <c r="F15" s="26"/>
      <c r="G15" s="260"/>
      <c r="H15" s="189">
        <f t="shared" si="6"/>
        <v>0</v>
      </c>
      <c r="I15" s="287"/>
      <c r="J15" s="264"/>
      <c r="K15" s="259">
        <f t="shared" si="1"/>
        <v>0</v>
      </c>
      <c r="L15" s="26"/>
      <c r="M15" s="260"/>
      <c r="N15" s="167">
        <f t="shared" si="2"/>
        <v>0</v>
      </c>
      <c r="O15" s="287"/>
      <c r="P15" s="264"/>
      <c r="Q15" s="259">
        <f t="shared" si="3"/>
        <v>0</v>
      </c>
      <c r="R15" s="26"/>
      <c r="S15" s="189"/>
      <c r="T15" s="189">
        <f t="shared" si="4"/>
        <v>0</v>
      </c>
      <c r="U15" s="36">
        <f t="shared" si="5"/>
        <v>0</v>
      </c>
    </row>
    <row r="16" spans="1:46" x14ac:dyDescent="0.2">
      <c r="A16" s="25"/>
      <c r="B16" s="25"/>
      <c r="C16" s="287"/>
      <c r="D16" s="263"/>
      <c r="E16" s="259">
        <f t="shared" si="0"/>
        <v>0</v>
      </c>
      <c r="F16" s="26"/>
      <c r="G16" s="260"/>
      <c r="H16" s="189">
        <f t="shared" si="6"/>
        <v>0</v>
      </c>
      <c r="I16" s="287"/>
      <c r="J16" s="264"/>
      <c r="K16" s="259">
        <f t="shared" si="1"/>
        <v>0</v>
      </c>
      <c r="L16" s="26"/>
      <c r="M16" s="260"/>
      <c r="N16" s="167">
        <f t="shared" si="2"/>
        <v>0</v>
      </c>
      <c r="O16" s="287"/>
      <c r="P16" s="264"/>
      <c r="Q16" s="259">
        <f t="shared" si="3"/>
        <v>0</v>
      </c>
      <c r="R16" s="26"/>
      <c r="S16" s="189"/>
      <c r="T16" s="189">
        <f t="shared" si="4"/>
        <v>0</v>
      </c>
      <c r="U16" s="36">
        <f t="shared" si="5"/>
        <v>0</v>
      </c>
    </row>
    <row r="17" spans="1:21" x14ac:dyDescent="0.2">
      <c r="A17" s="25"/>
      <c r="B17" s="25"/>
      <c r="C17" s="287"/>
      <c r="D17" s="263"/>
      <c r="E17" s="259">
        <f t="shared" si="0"/>
        <v>0</v>
      </c>
      <c r="F17" s="26"/>
      <c r="G17" s="260"/>
      <c r="H17" s="189">
        <f t="shared" si="6"/>
        <v>0</v>
      </c>
      <c r="I17" s="287"/>
      <c r="J17" s="264"/>
      <c r="K17" s="259">
        <f t="shared" si="1"/>
        <v>0</v>
      </c>
      <c r="L17" s="26"/>
      <c r="M17" s="260"/>
      <c r="N17" s="167">
        <f t="shared" si="2"/>
        <v>0</v>
      </c>
      <c r="O17" s="287"/>
      <c r="P17" s="264"/>
      <c r="Q17" s="259">
        <f t="shared" si="3"/>
        <v>0</v>
      </c>
      <c r="R17" s="26"/>
      <c r="S17" s="189"/>
      <c r="T17" s="189">
        <f t="shared" si="4"/>
        <v>0</v>
      </c>
      <c r="U17" s="36">
        <f t="shared" si="5"/>
        <v>0</v>
      </c>
    </row>
    <row r="18" spans="1:21" x14ac:dyDescent="0.2">
      <c r="A18" s="25"/>
      <c r="B18" s="25"/>
      <c r="C18" s="287"/>
      <c r="D18" s="263"/>
      <c r="E18" s="259">
        <f t="shared" si="0"/>
        <v>0</v>
      </c>
      <c r="F18" s="26"/>
      <c r="G18" s="260"/>
      <c r="H18" s="189">
        <f t="shared" si="6"/>
        <v>0</v>
      </c>
      <c r="I18" s="287"/>
      <c r="J18" s="264"/>
      <c r="K18" s="259">
        <f t="shared" si="1"/>
        <v>0</v>
      </c>
      <c r="L18" s="26"/>
      <c r="M18" s="260"/>
      <c r="N18" s="167">
        <f t="shared" si="2"/>
        <v>0</v>
      </c>
      <c r="O18" s="287"/>
      <c r="P18" s="264"/>
      <c r="Q18" s="259">
        <f t="shared" si="3"/>
        <v>0</v>
      </c>
      <c r="R18" s="26"/>
      <c r="S18" s="189"/>
      <c r="T18" s="189">
        <f t="shared" si="4"/>
        <v>0</v>
      </c>
      <c r="U18" s="36">
        <f t="shared" si="5"/>
        <v>0</v>
      </c>
    </row>
    <row r="19" spans="1:21" x14ac:dyDescent="0.2">
      <c r="A19" s="25"/>
      <c r="B19" s="25"/>
      <c r="C19" s="287"/>
      <c r="D19" s="263"/>
      <c r="E19" s="259">
        <f t="shared" si="0"/>
        <v>0</v>
      </c>
      <c r="F19" s="26"/>
      <c r="G19" s="260"/>
      <c r="H19" s="189">
        <f t="shared" si="6"/>
        <v>0</v>
      </c>
      <c r="I19" s="287"/>
      <c r="J19" s="264"/>
      <c r="K19" s="259">
        <f t="shared" si="1"/>
        <v>0</v>
      </c>
      <c r="L19" s="26"/>
      <c r="M19" s="260"/>
      <c r="N19" s="167">
        <f t="shared" si="2"/>
        <v>0</v>
      </c>
      <c r="O19" s="287"/>
      <c r="P19" s="264"/>
      <c r="Q19" s="259">
        <f t="shared" si="3"/>
        <v>0</v>
      </c>
      <c r="R19" s="26"/>
      <c r="S19" s="189"/>
      <c r="T19" s="189">
        <f t="shared" si="4"/>
        <v>0</v>
      </c>
      <c r="U19" s="36">
        <f t="shared" si="5"/>
        <v>0</v>
      </c>
    </row>
    <row r="20" spans="1:21" x14ac:dyDescent="0.2">
      <c r="A20" s="25"/>
      <c r="C20" s="288"/>
      <c r="D20" s="263"/>
      <c r="E20" s="259">
        <f t="shared" si="0"/>
        <v>0</v>
      </c>
      <c r="F20" s="278"/>
      <c r="G20" s="260"/>
      <c r="H20" s="189">
        <f t="shared" si="6"/>
        <v>0</v>
      </c>
      <c r="I20" s="288"/>
      <c r="J20" s="264"/>
      <c r="K20" s="259">
        <f t="shared" si="1"/>
        <v>0</v>
      </c>
      <c r="L20" s="278"/>
      <c r="M20" s="260"/>
      <c r="N20" s="167">
        <f t="shared" si="2"/>
        <v>0</v>
      </c>
      <c r="O20" s="288"/>
      <c r="P20" s="264"/>
      <c r="Q20" s="259">
        <f t="shared" si="3"/>
        <v>0</v>
      </c>
      <c r="R20" s="278"/>
      <c r="S20" s="189"/>
      <c r="T20" s="189">
        <f t="shared" si="4"/>
        <v>0</v>
      </c>
      <c r="U20" s="36">
        <f t="shared" si="5"/>
        <v>0</v>
      </c>
    </row>
    <row r="21" spans="1:21" x14ac:dyDescent="0.2">
      <c r="A21" s="25"/>
      <c r="B21" s="25"/>
      <c r="C21" s="287"/>
      <c r="D21" s="263"/>
      <c r="E21" s="259">
        <f t="shared" si="0"/>
        <v>0</v>
      </c>
      <c r="F21" s="26"/>
      <c r="G21" s="260"/>
      <c r="H21" s="189">
        <f t="shared" si="6"/>
        <v>0</v>
      </c>
      <c r="I21" s="287"/>
      <c r="J21" s="264"/>
      <c r="K21" s="259">
        <f t="shared" si="1"/>
        <v>0</v>
      </c>
      <c r="L21" s="26"/>
      <c r="M21" s="260"/>
      <c r="N21" s="167">
        <f t="shared" si="2"/>
        <v>0</v>
      </c>
      <c r="O21" s="287"/>
      <c r="P21" s="264"/>
      <c r="Q21" s="259">
        <f t="shared" si="3"/>
        <v>0</v>
      </c>
      <c r="R21" s="26"/>
      <c r="S21" s="189"/>
      <c r="T21" s="189">
        <f t="shared" si="4"/>
        <v>0</v>
      </c>
      <c r="U21" s="36">
        <f t="shared" si="5"/>
        <v>0</v>
      </c>
    </row>
    <row r="22" spans="1:21" ht="20.100000000000001" customHeight="1" thickBot="1" x14ac:dyDescent="0.3">
      <c r="A22" s="279" t="s">
        <v>98</v>
      </c>
      <c r="B22" s="279"/>
      <c r="C22" s="280">
        <f>SUM(C4:C19)</f>
        <v>1</v>
      </c>
      <c r="D22" s="265"/>
      <c r="E22" s="265">
        <f>SUM(E4:E21)</f>
        <v>5</v>
      </c>
      <c r="F22" s="37">
        <f>SUM(F4:F19)</f>
        <v>1</v>
      </c>
      <c r="G22" s="265"/>
      <c r="H22" s="266">
        <f>SUM(H4:H21)</f>
        <v>4.5</v>
      </c>
      <c r="I22" s="37">
        <f>SUM(I4:I19)</f>
        <v>1</v>
      </c>
      <c r="J22" s="265"/>
      <c r="K22" s="265">
        <f>SUM(K4:K21)</f>
        <v>0.25</v>
      </c>
      <c r="L22" s="37">
        <f>SUM(L4:L19)</f>
        <v>1</v>
      </c>
      <c r="M22" s="265"/>
      <c r="N22" s="265">
        <f>SUM(N4:N21)</f>
        <v>30</v>
      </c>
      <c r="O22" s="37">
        <f>SUM(O4:O19)</f>
        <v>1</v>
      </c>
      <c r="P22" s="265"/>
      <c r="Q22" s="265">
        <f>SUM(Q4:Q21)</f>
        <v>8</v>
      </c>
      <c r="R22" s="37">
        <f>SUM(R4:R19)</f>
        <v>1</v>
      </c>
      <c r="S22" s="266"/>
      <c r="T22" s="266">
        <f t="shared" si="4"/>
        <v>0</v>
      </c>
      <c r="U22" s="37">
        <f>SUM(U4:U21)</f>
        <v>47.75</v>
      </c>
    </row>
    <row r="23" spans="1:21" ht="32.1" customHeight="1" thickBot="1" x14ac:dyDescent="0.25">
      <c r="A23" s="281" t="s">
        <v>99</v>
      </c>
      <c r="B23" s="282"/>
      <c r="C23" s="283">
        <f>(C22+F22+I22+L22+O22+R22)</f>
        <v>6</v>
      </c>
      <c r="D23" s="268"/>
      <c r="E23" s="269"/>
      <c r="F23" s="267"/>
      <c r="G23" s="269"/>
      <c r="H23" s="269"/>
      <c r="I23" s="267"/>
      <c r="J23" s="269"/>
      <c r="K23" s="269"/>
      <c r="L23" s="267"/>
      <c r="M23" s="269"/>
      <c r="N23" s="269"/>
      <c r="O23" s="267"/>
      <c r="P23" s="269"/>
      <c r="Q23" s="269"/>
      <c r="R23" s="267"/>
      <c r="S23" s="269"/>
      <c r="T23" s="269"/>
      <c r="U23" s="269"/>
    </row>
    <row r="25" spans="1:21" ht="22.35" customHeight="1" x14ac:dyDescent="0.2">
      <c r="A25" s="380" t="s">
        <v>516</v>
      </c>
      <c r="B25" s="380"/>
      <c r="C25" s="380"/>
      <c r="D25" s="380"/>
      <c r="E25" s="380"/>
      <c r="F25" s="380"/>
      <c r="G25" s="380"/>
      <c r="H25" s="380"/>
      <c r="I25" s="380"/>
      <c r="J25" s="380"/>
      <c r="K25" s="380"/>
      <c r="L25" s="380"/>
      <c r="M25" s="380"/>
      <c r="N25" s="380"/>
      <c r="O25" s="380"/>
      <c r="P25" s="380"/>
      <c r="Q25" s="380"/>
      <c r="R25" s="380"/>
      <c r="S25" s="380"/>
      <c r="T25" s="380"/>
      <c r="U25" s="380"/>
    </row>
  </sheetData>
  <mergeCells count="8">
    <mergeCell ref="A25:U25"/>
    <mergeCell ref="A1:U1"/>
    <mergeCell ref="C2:E2"/>
    <mergeCell ref="R2:T2"/>
    <mergeCell ref="O2:Q2"/>
    <mergeCell ref="I2:K2"/>
    <mergeCell ref="F2:H2"/>
    <mergeCell ref="L2:N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1C75-E13B-49A9-B28C-9AC1496ADB60}">
  <dimension ref="A1:E24"/>
  <sheetViews>
    <sheetView topLeftCell="A13" workbookViewId="0">
      <selection activeCell="A24" sqref="A24:D24"/>
    </sheetView>
  </sheetViews>
  <sheetFormatPr defaultColWidth="8.7109375" defaultRowHeight="15" x14ac:dyDescent="0.25"/>
  <cols>
    <col min="1" max="1" width="18.7109375" style="15" bestFit="1" customWidth="1"/>
    <col min="2" max="2" width="47.7109375" customWidth="1"/>
    <col min="3" max="3" width="18.7109375" bestFit="1" customWidth="1"/>
    <col min="4" max="4" width="100.28515625" customWidth="1"/>
    <col min="5" max="5" width="40.42578125" customWidth="1"/>
  </cols>
  <sheetData>
    <row r="1" spans="1:5" ht="53.1" customHeight="1" thickBot="1" x14ac:dyDescent="0.3">
      <c r="A1" s="389" t="s">
        <v>100</v>
      </c>
      <c r="B1" s="389"/>
      <c r="C1" s="389"/>
      <c r="D1" s="389"/>
    </row>
    <row r="2" spans="1:5" ht="18.75" thickBot="1" x14ac:dyDescent="0.3">
      <c r="A2" s="16" t="s">
        <v>101</v>
      </c>
      <c r="B2" s="3" t="s">
        <v>102</v>
      </c>
      <c r="C2" s="40" t="s">
        <v>103</v>
      </c>
      <c r="D2" s="40" t="s">
        <v>104</v>
      </c>
    </row>
    <row r="3" spans="1:5" s="64" customFormat="1" thickBot="1" x14ac:dyDescent="0.3">
      <c r="A3" s="390" t="s">
        <v>45</v>
      </c>
      <c r="B3" s="14" t="s">
        <v>105</v>
      </c>
      <c r="C3" s="51">
        <v>500</v>
      </c>
      <c r="D3" s="52" t="s">
        <v>106</v>
      </c>
    </row>
    <row r="4" spans="1:5" s="64" customFormat="1" ht="86.25" thickBot="1" x14ac:dyDescent="0.3">
      <c r="A4" s="391"/>
      <c r="B4" s="14" t="s">
        <v>107</v>
      </c>
      <c r="C4" s="53" t="s">
        <v>108</v>
      </c>
      <c r="D4" s="52" t="s">
        <v>109</v>
      </c>
    </row>
    <row r="5" spans="1:5" s="64" customFormat="1" thickBot="1" x14ac:dyDescent="0.3">
      <c r="A5" s="392"/>
      <c r="B5" s="14" t="s">
        <v>110</v>
      </c>
      <c r="C5" s="52">
        <v>250</v>
      </c>
      <c r="D5" s="52" t="s">
        <v>111</v>
      </c>
    </row>
    <row r="6" spans="1:5" s="64" customFormat="1" ht="29.25" thickBot="1" x14ac:dyDescent="0.3">
      <c r="A6" s="38" t="s">
        <v>46</v>
      </c>
      <c r="B6" s="54" t="s">
        <v>112</v>
      </c>
      <c r="C6" s="55">
        <v>300</v>
      </c>
      <c r="D6" s="56" t="s">
        <v>113</v>
      </c>
      <c r="E6" s="64">
        <f>750+1150+500+750+600</f>
        <v>3750</v>
      </c>
    </row>
    <row r="7" spans="1:5" s="64" customFormat="1" ht="43.5" thickBot="1" x14ac:dyDescent="0.3">
      <c r="A7" s="390" t="s">
        <v>47</v>
      </c>
      <c r="B7" s="14" t="s">
        <v>114</v>
      </c>
      <c r="C7" s="51">
        <v>25</v>
      </c>
      <c r="D7" s="18" t="s">
        <v>115</v>
      </c>
    </row>
    <row r="8" spans="1:5" s="64" customFormat="1" ht="29.25" thickBot="1" x14ac:dyDescent="0.3">
      <c r="A8" s="391"/>
      <c r="B8" s="14" t="s">
        <v>116</v>
      </c>
      <c r="C8" s="57">
        <v>51</v>
      </c>
      <c r="D8" s="58" t="s">
        <v>117</v>
      </c>
    </row>
    <row r="9" spans="1:5" s="64" customFormat="1" ht="29.25" thickBot="1" x14ac:dyDescent="0.3">
      <c r="A9" s="392"/>
      <c r="B9" s="14" t="s">
        <v>118</v>
      </c>
      <c r="C9" s="51">
        <v>75</v>
      </c>
      <c r="D9" s="18" t="s">
        <v>119</v>
      </c>
    </row>
    <row r="10" spans="1:5" s="64" customFormat="1" ht="29.25" thickBot="1" x14ac:dyDescent="0.3">
      <c r="A10" s="396" t="s">
        <v>48</v>
      </c>
      <c r="B10" s="41" t="s">
        <v>120</v>
      </c>
      <c r="C10" s="55">
        <v>13</v>
      </c>
      <c r="D10" s="56" t="s">
        <v>121</v>
      </c>
    </row>
    <row r="11" spans="1:5" s="64" customFormat="1" ht="29.25" thickBot="1" x14ac:dyDescent="0.3">
      <c r="A11" s="397"/>
      <c r="B11" s="41" t="s">
        <v>122</v>
      </c>
      <c r="C11" s="55">
        <v>85</v>
      </c>
      <c r="D11" s="56" t="s">
        <v>123</v>
      </c>
    </row>
    <row r="12" spans="1:5" s="64" customFormat="1" ht="29.25" thickBot="1" x14ac:dyDescent="0.3">
      <c r="A12" s="390" t="s">
        <v>49</v>
      </c>
      <c r="B12" s="59" t="s">
        <v>124</v>
      </c>
      <c r="C12" s="52">
        <v>45</v>
      </c>
      <c r="D12" s="60" t="s">
        <v>125</v>
      </c>
    </row>
    <row r="13" spans="1:5" s="64" customFormat="1" ht="29.25" thickBot="1" x14ac:dyDescent="0.3">
      <c r="A13" s="391"/>
      <c r="B13" s="59" t="s">
        <v>126</v>
      </c>
      <c r="C13" s="52">
        <v>300</v>
      </c>
      <c r="D13" s="60" t="s">
        <v>127</v>
      </c>
    </row>
    <row r="14" spans="1:5" s="64" customFormat="1" thickBot="1" x14ac:dyDescent="0.3">
      <c r="A14" s="391"/>
      <c r="B14" s="59" t="s">
        <v>128</v>
      </c>
      <c r="C14" s="52">
        <v>300</v>
      </c>
      <c r="D14" s="61" t="s">
        <v>129</v>
      </c>
    </row>
    <row r="15" spans="1:5" s="64" customFormat="1" ht="29.25" thickBot="1" x14ac:dyDescent="0.3">
      <c r="A15" s="392"/>
      <c r="B15" s="62" t="s">
        <v>130</v>
      </c>
      <c r="C15" s="52">
        <v>300</v>
      </c>
      <c r="D15" s="60" t="s">
        <v>131</v>
      </c>
    </row>
    <row r="16" spans="1:5" s="64" customFormat="1" ht="29.25" thickBot="1" x14ac:dyDescent="0.3">
      <c r="A16" s="401" t="s">
        <v>50</v>
      </c>
      <c r="B16" s="41" t="s">
        <v>132</v>
      </c>
      <c r="C16" s="55">
        <v>192</v>
      </c>
      <c r="D16" s="56" t="s">
        <v>133</v>
      </c>
    </row>
    <row r="17" spans="1:4" s="64" customFormat="1" ht="29.25" thickBot="1" x14ac:dyDescent="0.3">
      <c r="A17" s="402"/>
      <c r="B17" s="41" t="s">
        <v>134</v>
      </c>
      <c r="C17" s="55">
        <v>150</v>
      </c>
      <c r="D17" s="56" t="s">
        <v>135</v>
      </c>
    </row>
    <row r="18" spans="1:4" s="64" customFormat="1" ht="43.5" thickBot="1" x14ac:dyDescent="0.3">
      <c r="A18" s="39" t="s">
        <v>136</v>
      </c>
      <c r="B18" s="62" t="s">
        <v>137</v>
      </c>
      <c r="C18" s="63"/>
      <c r="D18" s="60" t="s">
        <v>138</v>
      </c>
    </row>
    <row r="19" spans="1:4" s="64" customFormat="1" ht="29.25" thickBot="1" x14ac:dyDescent="0.3">
      <c r="A19" s="398" t="s">
        <v>139</v>
      </c>
      <c r="B19" s="41" t="s">
        <v>140</v>
      </c>
      <c r="C19" s="55">
        <v>125</v>
      </c>
      <c r="D19" s="56" t="s">
        <v>141</v>
      </c>
    </row>
    <row r="20" spans="1:4" s="64" customFormat="1" thickBot="1" x14ac:dyDescent="0.3">
      <c r="A20" s="399"/>
      <c r="B20" s="41" t="s">
        <v>142</v>
      </c>
      <c r="C20" s="55">
        <v>180</v>
      </c>
      <c r="D20" s="56" t="s">
        <v>143</v>
      </c>
    </row>
    <row r="21" spans="1:4" s="64" customFormat="1" thickBot="1" x14ac:dyDescent="0.3">
      <c r="A21" s="400"/>
      <c r="B21" s="41" t="s">
        <v>144</v>
      </c>
      <c r="C21" s="55">
        <v>250</v>
      </c>
      <c r="D21" s="56" t="s">
        <v>145</v>
      </c>
    </row>
    <row r="22" spans="1:4" ht="57.75" customHeight="1" thickBot="1" x14ac:dyDescent="0.3">
      <c r="A22" s="393" t="s">
        <v>146</v>
      </c>
      <c r="B22" s="394"/>
      <c r="C22" s="394"/>
      <c r="D22" s="395"/>
    </row>
    <row r="24" spans="1:4" ht="44.1" customHeight="1" x14ac:dyDescent="0.25">
      <c r="A24" s="380" t="s">
        <v>515</v>
      </c>
      <c r="B24" s="380"/>
      <c r="C24" s="380"/>
      <c r="D24" s="380"/>
    </row>
  </sheetData>
  <mergeCells count="9">
    <mergeCell ref="A24:D24"/>
    <mergeCell ref="A1:D1"/>
    <mergeCell ref="A3:A5"/>
    <mergeCell ref="A7:A9"/>
    <mergeCell ref="A22:D22"/>
    <mergeCell ref="A10:A11"/>
    <mergeCell ref="A19:A21"/>
    <mergeCell ref="A12:A15"/>
    <mergeCell ref="A16:A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D3F4-0DB2-438F-8DC6-1CC0F8BFC48C}">
  <dimension ref="A1:I27"/>
  <sheetViews>
    <sheetView showGridLines="0" topLeftCell="A11" workbookViewId="0">
      <selection activeCell="H13" sqref="H13"/>
    </sheetView>
  </sheetViews>
  <sheetFormatPr defaultColWidth="8.7109375" defaultRowHeight="15" x14ac:dyDescent="0.25"/>
  <cols>
    <col min="1" max="1" width="15.140625" style="15" customWidth="1"/>
    <col min="2" max="2" width="33" style="73" customWidth="1"/>
    <col min="3" max="4" width="9.42578125" bestFit="1" customWidth="1"/>
    <col min="5" max="5" width="10" customWidth="1"/>
    <col min="6" max="6" width="10.42578125" customWidth="1"/>
    <col min="7" max="7" width="9.42578125" bestFit="1" customWidth="1"/>
    <col min="8" max="8" width="97.28515625" customWidth="1"/>
    <col min="9" max="9" width="22.7109375" style="1" customWidth="1"/>
  </cols>
  <sheetData>
    <row r="1" spans="1:9" ht="71.099999999999994" customHeight="1" thickBot="1" x14ac:dyDescent="0.3">
      <c r="A1" s="403" t="s">
        <v>147</v>
      </c>
      <c r="B1" s="404"/>
      <c r="C1" s="404"/>
      <c r="D1" s="404"/>
      <c r="E1" s="404"/>
      <c r="F1" s="404"/>
      <c r="G1" s="404"/>
      <c r="H1" s="405"/>
    </row>
    <row r="2" spans="1:9" ht="43.5" thickBot="1" x14ac:dyDescent="0.3">
      <c r="A2" s="19" t="s">
        <v>101</v>
      </c>
      <c r="B2" s="69" t="s">
        <v>148</v>
      </c>
      <c r="C2" s="12" t="s">
        <v>149</v>
      </c>
      <c r="D2" s="12" t="s">
        <v>55</v>
      </c>
      <c r="E2" s="12" t="s">
        <v>56</v>
      </c>
      <c r="F2" s="12" t="s">
        <v>57</v>
      </c>
      <c r="G2" s="12" t="s">
        <v>58</v>
      </c>
      <c r="H2" s="13" t="s">
        <v>104</v>
      </c>
    </row>
    <row r="3" spans="1:9" ht="72" thickBot="1" x14ac:dyDescent="0.3">
      <c r="A3" s="17" t="s">
        <v>150</v>
      </c>
      <c r="B3" s="18" t="s">
        <v>151</v>
      </c>
      <c r="C3" s="65">
        <v>5</v>
      </c>
      <c r="D3" s="65">
        <v>4.5</v>
      </c>
      <c r="E3" s="65">
        <v>0.25</v>
      </c>
      <c r="F3" s="65">
        <v>30</v>
      </c>
      <c r="G3" s="65">
        <v>8</v>
      </c>
      <c r="H3" s="50" t="s">
        <v>152</v>
      </c>
    </row>
    <row r="4" spans="1:9" ht="72.75" thickBot="1" x14ac:dyDescent="0.3">
      <c r="A4" s="401" t="s">
        <v>46</v>
      </c>
      <c r="B4" s="70" t="s">
        <v>153</v>
      </c>
      <c r="C4" s="66">
        <v>0.2</v>
      </c>
      <c r="D4" s="66">
        <v>0.65</v>
      </c>
      <c r="E4" s="66">
        <v>0.12</v>
      </c>
      <c r="F4" s="66">
        <v>0.25</v>
      </c>
      <c r="G4" s="66">
        <v>0.7</v>
      </c>
      <c r="H4" s="45" t="s">
        <v>154</v>
      </c>
    </row>
    <row r="5" spans="1:9" ht="58.5" thickBot="1" x14ac:dyDescent="0.3">
      <c r="A5" s="402"/>
      <c r="B5" s="70" t="s">
        <v>155</v>
      </c>
      <c r="C5" s="67">
        <v>1.5</v>
      </c>
      <c r="D5" s="67">
        <v>4</v>
      </c>
      <c r="E5" s="67">
        <v>6</v>
      </c>
      <c r="F5" s="67">
        <v>2</v>
      </c>
      <c r="G5" s="67">
        <v>2</v>
      </c>
      <c r="H5" s="46" t="s">
        <v>156</v>
      </c>
    </row>
    <row r="6" spans="1:9" ht="72.75" thickBot="1" x14ac:dyDescent="0.3">
      <c r="A6" s="390" t="s">
        <v>47</v>
      </c>
      <c r="B6" s="18" t="s">
        <v>157</v>
      </c>
      <c r="C6" s="68">
        <v>2</v>
      </c>
      <c r="D6" s="68">
        <v>1.5</v>
      </c>
      <c r="E6" s="68">
        <v>1.1200000000000001</v>
      </c>
      <c r="F6" s="68">
        <v>1.5</v>
      </c>
      <c r="G6" s="68">
        <v>1.1499999999999999</v>
      </c>
      <c r="H6" s="47" t="s">
        <v>158</v>
      </c>
    </row>
    <row r="7" spans="1:9" ht="115.5" thickBot="1" x14ac:dyDescent="0.3">
      <c r="A7" s="391"/>
      <c r="B7" s="18" t="s">
        <v>159</v>
      </c>
      <c r="C7" s="68">
        <v>0.2</v>
      </c>
      <c r="D7" s="68">
        <v>0.1</v>
      </c>
      <c r="E7" s="68">
        <v>0.12</v>
      </c>
      <c r="F7" s="68">
        <v>0.55000000000000004</v>
      </c>
      <c r="G7" s="68">
        <v>0.15</v>
      </c>
      <c r="H7" s="47" t="s">
        <v>160</v>
      </c>
    </row>
    <row r="8" spans="1:9" ht="72.75" thickBot="1" x14ac:dyDescent="0.3">
      <c r="A8" s="391"/>
      <c r="B8" s="18" t="s">
        <v>161</v>
      </c>
      <c r="C8" s="68">
        <v>0.65</v>
      </c>
      <c r="D8" s="68">
        <v>0.8</v>
      </c>
      <c r="E8" s="68">
        <v>0.45</v>
      </c>
      <c r="F8" s="68">
        <v>0.8</v>
      </c>
      <c r="G8" s="68">
        <v>0.65</v>
      </c>
      <c r="H8" s="47" t="s">
        <v>162</v>
      </c>
      <c r="I8" s="2"/>
    </row>
    <row r="9" spans="1:9" ht="186.75" thickBot="1" x14ac:dyDescent="0.3">
      <c r="A9" s="391"/>
      <c r="B9" s="18" t="s">
        <v>163</v>
      </c>
      <c r="C9" s="68">
        <v>0.4</v>
      </c>
      <c r="D9" s="68">
        <v>0.2</v>
      </c>
      <c r="E9" s="68">
        <v>0</v>
      </c>
      <c r="F9" s="68">
        <v>0.2</v>
      </c>
      <c r="G9" s="68">
        <v>0.2</v>
      </c>
      <c r="H9" s="49" t="s">
        <v>164</v>
      </c>
    </row>
    <row r="10" spans="1:9" ht="58.5" thickBot="1" x14ac:dyDescent="0.3">
      <c r="A10" s="392"/>
      <c r="B10" s="18" t="s">
        <v>165</v>
      </c>
      <c r="C10" s="14">
        <v>6000</v>
      </c>
      <c r="D10" s="14">
        <v>4000</v>
      </c>
      <c r="E10" s="14">
        <v>8000</v>
      </c>
      <c r="F10" s="14">
        <v>4000</v>
      </c>
      <c r="G10" s="14">
        <v>8000</v>
      </c>
      <c r="H10" s="49" t="s">
        <v>166</v>
      </c>
      <c r="I10"/>
    </row>
    <row r="11" spans="1:9" ht="87" thickBot="1" x14ac:dyDescent="0.3">
      <c r="A11" s="396" t="s">
        <v>49</v>
      </c>
      <c r="B11" s="71" t="s">
        <v>167</v>
      </c>
      <c r="C11" s="41">
        <v>50</v>
      </c>
      <c r="D11" s="41">
        <v>40</v>
      </c>
      <c r="E11" s="41">
        <v>40</v>
      </c>
      <c r="F11" s="41">
        <v>40</v>
      </c>
      <c r="G11" s="41">
        <v>50</v>
      </c>
      <c r="H11" s="46" t="s">
        <v>168</v>
      </c>
      <c r="I11"/>
    </row>
    <row r="12" spans="1:9" ht="72.75" thickBot="1" x14ac:dyDescent="0.3">
      <c r="A12" s="406"/>
      <c r="B12" s="71" t="s">
        <v>169</v>
      </c>
      <c r="C12" s="42">
        <v>0.4</v>
      </c>
      <c r="D12" s="42">
        <v>0.4</v>
      </c>
      <c r="E12" s="42">
        <v>0.4</v>
      </c>
      <c r="F12" s="42">
        <v>0.4</v>
      </c>
      <c r="G12" s="42">
        <v>0.4</v>
      </c>
      <c r="H12" s="188" t="s">
        <v>170</v>
      </c>
      <c r="I12"/>
    </row>
    <row r="13" spans="1:9" ht="72.75" thickBot="1" x14ac:dyDescent="0.3">
      <c r="A13" s="406"/>
      <c r="B13" s="71" t="s">
        <v>171</v>
      </c>
      <c r="C13" s="41">
        <v>45</v>
      </c>
      <c r="D13" s="41">
        <v>36</v>
      </c>
      <c r="E13" s="41">
        <v>36</v>
      </c>
      <c r="F13" s="41">
        <v>36</v>
      </c>
      <c r="G13" s="41">
        <v>45</v>
      </c>
      <c r="H13" s="46" t="s">
        <v>172</v>
      </c>
      <c r="I13"/>
    </row>
    <row r="14" spans="1:9" ht="58.5" thickBot="1" x14ac:dyDescent="0.3">
      <c r="A14" s="406"/>
      <c r="B14" s="71" t="s">
        <v>173</v>
      </c>
      <c r="C14" s="42">
        <v>0.9</v>
      </c>
      <c r="D14" s="42">
        <v>0.9</v>
      </c>
      <c r="E14" s="42">
        <v>0.9</v>
      </c>
      <c r="F14" s="42">
        <v>0.9</v>
      </c>
      <c r="G14" s="42">
        <v>0.9</v>
      </c>
      <c r="H14" s="188" t="s">
        <v>174</v>
      </c>
      <c r="I14"/>
    </row>
    <row r="15" spans="1:9" ht="58.5" thickBot="1" x14ac:dyDescent="0.3">
      <c r="A15" s="406"/>
      <c r="B15" s="71" t="s">
        <v>175</v>
      </c>
      <c r="C15" s="42">
        <v>0.1</v>
      </c>
      <c r="D15" s="42">
        <v>0.1</v>
      </c>
      <c r="E15" s="42">
        <v>0.1</v>
      </c>
      <c r="F15" s="42">
        <v>0.1</v>
      </c>
      <c r="G15" s="42">
        <v>0.1</v>
      </c>
      <c r="H15" s="46" t="s">
        <v>176</v>
      </c>
      <c r="I15"/>
    </row>
    <row r="16" spans="1:9" ht="72.75" thickBot="1" x14ac:dyDescent="0.3">
      <c r="A16" s="406"/>
      <c r="B16" s="71" t="s">
        <v>177</v>
      </c>
      <c r="C16" s="43">
        <v>40</v>
      </c>
      <c r="D16" s="43">
        <v>40</v>
      </c>
      <c r="E16" s="43">
        <v>40</v>
      </c>
      <c r="F16" s="43">
        <v>40</v>
      </c>
      <c r="G16" s="43">
        <v>40</v>
      </c>
      <c r="H16" s="46" t="s">
        <v>178</v>
      </c>
      <c r="I16"/>
    </row>
    <row r="17" spans="1:9" ht="72.75" thickBot="1" x14ac:dyDescent="0.3">
      <c r="A17" s="407"/>
      <c r="B17" s="72" t="s">
        <v>179</v>
      </c>
      <c r="C17" s="42">
        <v>0.03</v>
      </c>
      <c r="D17" s="42">
        <v>0.03</v>
      </c>
      <c r="E17" s="42">
        <v>0.03</v>
      </c>
      <c r="F17" s="42">
        <v>0.03</v>
      </c>
      <c r="G17" s="42">
        <v>0.03</v>
      </c>
      <c r="H17" s="46" t="s">
        <v>180</v>
      </c>
      <c r="I17"/>
    </row>
    <row r="18" spans="1:9" ht="44.25" thickBot="1" x14ac:dyDescent="0.3">
      <c r="A18" s="351" t="s">
        <v>181</v>
      </c>
      <c r="B18" s="187" t="s">
        <v>182</v>
      </c>
      <c r="C18" s="186">
        <v>15</v>
      </c>
      <c r="D18" s="44">
        <v>15</v>
      </c>
      <c r="E18" s="44">
        <v>15</v>
      </c>
      <c r="F18" s="44">
        <v>15</v>
      </c>
      <c r="G18" s="44">
        <v>15</v>
      </c>
      <c r="H18" s="48" t="s">
        <v>183</v>
      </c>
    </row>
    <row r="19" spans="1:9" ht="101.25" thickBot="1" x14ac:dyDescent="0.3">
      <c r="B19" s="71" t="s">
        <v>184</v>
      </c>
      <c r="C19" s="42">
        <v>0.15</v>
      </c>
      <c r="D19" s="42">
        <v>0.15</v>
      </c>
      <c r="E19" s="42">
        <v>0.15</v>
      </c>
      <c r="F19" s="42">
        <v>0.15</v>
      </c>
      <c r="G19" s="42">
        <v>0.15</v>
      </c>
      <c r="H19" s="188" t="s">
        <v>185</v>
      </c>
    </row>
    <row r="21" spans="1:9" ht="39" customHeight="1" x14ac:dyDescent="0.25">
      <c r="A21" s="380" t="s">
        <v>514</v>
      </c>
      <c r="B21" s="380"/>
      <c r="C21" s="380"/>
      <c r="D21" s="380"/>
      <c r="E21" s="380"/>
      <c r="F21" s="380"/>
      <c r="G21" s="380"/>
      <c r="H21" s="380"/>
    </row>
    <row r="23" spans="1:9" x14ac:dyDescent="0.25">
      <c r="A23" s="165"/>
    </row>
    <row r="24" spans="1:9" x14ac:dyDescent="0.25">
      <c r="A24" s="165"/>
    </row>
    <row r="25" spans="1:9" x14ac:dyDescent="0.25">
      <c r="A25" s="165"/>
    </row>
    <row r="26" spans="1:9" x14ac:dyDescent="0.25">
      <c r="A26" s="164"/>
    </row>
    <row r="27" spans="1:9" x14ac:dyDescent="0.25">
      <c r="A27" s="165"/>
    </row>
  </sheetData>
  <mergeCells count="5">
    <mergeCell ref="A1:H1"/>
    <mergeCell ref="A4:A5"/>
    <mergeCell ref="A6:A10"/>
    <mergeCell ref="A11:A17"/>
    <mergeCell ref="A21:H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1D18-7D61-49D3-ADB6-981FCAEA538A}">
  <dimension ref="A1:M128"/>
  <sheetViews>
    <sheetView showGridLines="0" tabSelected="1" zoomScale="82" zoomScaleNormal="82" workbookViewId="0">
      <pane xSplit="1" ySplit="5" topLeftCell="B72" activePane="bottomRight" state="frozen"/>
      <selection pane="topRight" activeCell="B1" sqref="B1"/>
      <selection pane="bottomLeft" activeCell="A6" sqref="A6"/>
      <selection pane="bottomRight" activeCell="N75" sqref="N75"/>
    </sheetView>
  </sheetViews>
  <sheetFormatPr defaultColWidth="8.7109375" defaultRowHeight="15" x14ac:dyDescent="0.25"/>
  <cols>
    <col min="1" max="1" width="26.85546875" style="73" customWidth="1"/>
    <col min="2" max="2" width="43.42578125" style="73" customWidth="1"/>
    <col min="3" max="3" width="18.28515625" style="92" bestFit="1" customWidth="1"/>
    <col min="4" max="8" width="13.7109375" style="9" customWidth="1"/>
    <col min="9" max="9" width="15" style="9" bestFit="1" customWidth="1"/>
    <col min="10" max="10" width="43.28515625" style="76" hidden="1" customWidth="1"/>
    <col min="11" max="11" width="7.42578125" hidden="1" customWidth="1"/>
    <col min="12" max="12" width="15.42578125" style="73" hidden="1" customWidth="1"/>
    <col min="13" max="13" width="25.42578125" customWidth="1"/>
  </cols>
  <sheetData>
    <row r="1" spans="1:13" ht="59.25" customHeight="1" x14ac:dyDescent="0.3">
      <c r="B1" s="403" t="s">
        <v>186</v>
      </c>
      <c r="C1" s="408"/>
      <c r="D1" s="408"/>
      <c r="E1" s="408"/>
      <c r="F1" s="408"/>
      <c r="G1" s="408"/>
      <c r="H1" s="408"/>
      <c r="I1" s="408"/>
      <c r="J1" s="408"/>
      <c r="K1" s="408"/>
      <c r="L1" s="409"/>
      <c r="M1" s="226" t="s">
        <v>187</v>
      </c>
    </row>
    <row r="2" spans="1:13" ht="28.5" customHeight="1" x14ac:dyDescent="0.25">
      <c r="A2" s="427" t="s">
        <v>22</v>
      </c>
      <c r="B2" s="419" t="s">
        <v>188</v>
      </c>
      <c r="C2" s="410" t="s">
        <v>189</v>
      </c>
      <c r="D2" s="411"/>
      <c r="E2" s="411"/>
      <c r="F2" s="411"/>
      <c r="G2" s="411"/>
      <c r="H2" s="411"/>
      <c r="I2" s="412"/>
      <c r="J2" s="410" t="s">
        <v>190</v>
      </c>
      <c r="K2" s="411"/>
      <c r="L2" s="412"/>
      <c r="M2" s="252" t="s">
        <v>191</v>
      </c>
    </row>
    <row r="3" spans="1:13" ht="36.75" customHeight="1" x14ac:dyDescent="0.25">
      <c r="A3" s="427"/>
      <c r="B3" s="420"/>
      <c r="C3" s="413"/>
      <c r="D3" s="414"/>
      <c r="E3" s="414"/>
      <c r="F3" s="414"/>
      <c r="G3" s="414"/>
      <c r="H3" s="414"/>
      <c r="I3" s="415"/>
      <c r="J3" s="413"/>
      <c r="K3" s="414"/>
      <c r="L3" s="415"/>
      <c r="M3" s="253" t="s">
        <v>192</v>
      </c>
    </row>
    <row r="4" spans="1:13" ht="28.5" hidden="1" customHeight="1" x14ac:dyDescent="0.25">
      <c r="A4" s="427"/>
      <c r="B4" s="421"/>
      <c r="C4" s="416"/>
      <c r="D4" s="417"/>
      <c r="E4" s="417"/>
      <c r="F4" s="417"/>
      <c r="G4" s="417"/>
      <c r="H4" s="417"/>
      <c r="I4" s="418"/>
      <c r="J4" s="416"/>
      <c r="K4" s="417"/>
      <c r="L4" s="418"/>
      <c r="M4" s="254" t="s">
        <v>193</v>
      </c>
    </row>
    <row r="5" spans="1:13" ht="35.25" customHeight="1" x14ac:dyDescent="0.25">
      <c r="A5" s="427"/>
      <c r="B5" s="223"/>
      <c r="C5" s="12" t="s">
        <v>54</v>
      </c>
      <c r="D5" s="12" t="s">
        <v>55</v>
      </c>
      <c r="E5" s="12" t="s">
        <v>56</v>
      </c>
      <c r="F5" s="12" t="s">
        <v>57</v>
      </c>
      <c r="G5" s="12" t="s">
        <v>58</v>
      </c>
      <c r="H5" s="12" t="s">
        <v>194</v>
      </c>
      <c r="I5" s="12" t="s">
        <v>195</v>
      </c>
      <c r="J5" s="232" t="s">
        <v>104</v>
      </c>
      <c r="K5" s="224" t="s">
        <v>196</v>
      </c>
      <c r="L5" s="225" t="s">
        <v>197</v>
      </c>
      <c r="M5" s="255" t="s">
        <v>198</v>
      </c>
    </row>
    <row r="6" spans="1:13" ht="29.25" x14ac:dyDescent="0.25">
      <c r="A6" s="428"/>
      <c r="B6" s="5" t="s">
        <v>199</v>
      </c>
      <c r="C6" s="88"/>
      <c r="D6" s="231"/>
      <c r="E6" s="231"/>
      <c r="F6" s="231"/>
      <c r="G6" s="231"/>
      <c r="H6" s="231"/>
      <c r="I6" s="88">
        <f>SUM(C6:H6)</f>
        <v>0</v>
      </c>
      <c r="J6" s="5" t="s">
        <v>200</v>
      </c>
      <c r="K6" s="193" t="s">
        <v>201</v>
      </c>
      <c r="L6" s="213"/>
    </row>
    <row r="7" spans="1:13" x14ac:dyDescent="0.25">
      <c r="A7" s="428"/>
      <c r="B7" s="4" t="s">
        <v>202</v>
      </c>
      <c r="C7" s="84"/>
      <c r="D7" s="78"/>
      <c r="E7" s="78"/>
      <c r="F7" s="78"/>
      <c r="G7" s="78"/>
      <c r="H7" s="78"/>
      <c r="I7" s="78"/>
      <c r="J7" s="5" t="s">
        <v>203</v>
      </c>
      <c r="K7" s="193" t="s">
        <v>204</v>
      </c>
      <c r="L7" s="213"/>
    </row>
    <row r="8" spans="1:13" ht="29.25" x14ac:dyDescent="0.25">
      <c r="A8" s="428"/>
      <c r="B8" s="179" t="s">
        <v>205</v>
      </c>
      <c r="C8" s="85">
        <f>C6*C7</f>
        <v>0</v>
      </c>
      <c r="D8" s="85">
        <f t="shared" ref="D8:H8" si="0">D6*D7</f>
        <v>0</v>
      </c>
      <c r="E8" s="85">
        <f t="shared" si="0"/>
        <v>0</v>
      </c>
      <c r="F8" s="85">
        <f t="shared" si="0"/>
        <v>0</v>
      </c>
      <c r="G8" s="85">
        <f t="shared" si="0"/>
        <v>0</v>
      </c>
      <c r="H8" s="85">
        <f t="shared" si="0"/>
        <v>0</v>
      </c>
      <c r="I8" s="85">
        <f>SUM(C8:H8)</f>
        <v>0</v>
      </c>
      <c r="J8" s="179" t="s">
        <v>206</v>
      </c>
      <c r="K8" s="194" t="s">
        <v>207</v>
      </c>
      <c r="L8" s="202" t="s">
        <v>208</v>
      </c>
    </row>
    <row r="9" spans="1:13" ht="43.5" x14ac:dyDescent="0.25">
      <c r="A9" s="428"/>
      <c r="B9" s="4" t="s">
        <v>209</v>
      </c>
      <c r="C9" s="88">
        <f>'1 - Data Source Estimates'!C22</f>
        <v>1</v>
      </c>
      <c r="D9" s="231">
        <f>'1 - Data Source Estimates'!F22</f>
        <v>1</v>
      </c>
      <c r="E9" s="231">
        <f>'1 - Data Source Estimates'!I22</f>
        <v>1</v>
      </c>
      <c r="F9" s="231">
        <f>'1 - Data Source Estimates'!L22</f>
        <v>1</v>
      </c>
      <c r="G9" s="231">
        <f>'1 - Data Source Estimates'!O22</f>
        <v>1</v>
      </c>
      <c r="H9" s="231">
        <v>0</v>
      </c>
      <c r="I9" s="231">
        <f>SUM(C9:H9)</f>
        <v>5</v>
      </c>
      <c r="J9" s="5" t="s">
        <v>210</v>
      </c>
      <c r="K9" s="193" t="s">
        <v>211</v>
      </c>
      <c r="L9" s="213"/>
    </row>
    <row r="10" spans="1:13" x14ac:dyDescent="0.25">
      <c r="A10" s="428"/>
      <c r="B10" s="4" t="s">
        <v>212</v>
      </c>
      <c r="C10" s="84">
        <v>750</v>
      </c>
      <c r="D10" s="78">
        <v>1150</v>
      </c>
      <c r="E10" s="78">
        <v>500</v>
      </c>
      <c r="F10" s="78">
        <v>600</v>
      </c>
      <c r="G10" s="78">
        <v>750</v>
      </c>
      <c r="H10" s="78"/>
      <c r="I10" s="78">
        <f>SUM(C10:H10)</f>
        <v>3750</v>
      </c>
      <c r="J10" s="5" t="s">
        <v>213</v>
      </c>
      <c r="K10" s="193" t="s">
        <v>214</v>
      </c>
      <c r="L10" s="213"/>
    </row>
    <row r="11" spans="1:13" ht="29.25" x14ac:dyDescent="0.25">
      <c r="A11" s="428"/>
      <c r="B11" s="179" t="s">
        <v>215</v>
      </c>
      <c r="C11" s="85">
        <f>C9*C10</f>
        <v>750</v>
      </c>
      <c r="D11" s="85">
        <f t="shared" ref="D11:H11" si="1">D9*D10</f>
        <v>1150</v>
      </c>
      <c r="E11" s="85">
        <f t="shared" si="1"/>
        <v>500</v>
      </c>
      <c r="F11" s="85">
        <f t="shared" si="1"/>
        <v>600</v>
      </c>
      <c r="G11" s="85">
        <f t="shared" si="1"/>
        <v>750</v>
      </c>
      <c r="H11" s="85">
        <f t="shared" si="1"/>
        <v>0</v>
      </c>
      <c r="I11" s="85"/>
      <c r="J11" s="179" t="s">
        <v>216</v>
      </c>
      <c r="K11" s="194" t="s">
        <v>217</v>
      </c>
      <c r="L11" s="202" t="s">
        <v>218</v>
      </c>
    </row>
    <row r="12" spans="1:13" ht="29.25" x14ac:dyDescent="0.25">
      <c r="A12" s="428"/>
      <c r="B12" s="4" t="s">
        <v>219</v>
      </c>
      <c r="C12" s="170"/>
      <c r="D12" s="228"/>
      <c r="E12" s="228"/>
      <c r="F12" s="228"/>
      <c r="G12" s="228"/>
      <c r="H12" s="228"/>
      <c r="I12" s="228"/>
      <c r="J12" s="5" t="s">
        <v>220</v>
      </c>
      <c r="K12" s="193" t="s">
        <v>221</v>
      </c>
      <c r="L12" s="213"/>
    </row>
    <row r="13" spans="1:13" ht="21" customHeight="1" x14ac:dyDescent="0.25">
      <c r="A13" s="428"/>
      <c r="B13" s="4" t="s">
        <v>222</v>
      </c>
      <c r="C13" s="84"/>
      <c r="D13" s="78"/>
      <c r="E13" s="78"/>
      <c r="F13" s="78"/>
      <c r="G13" s="78"/>
      <c r="H13" s="78"/>
      <c r="I13" s="78"/>
      <c r="J13" s="5" t="s">
        <v>223</v>
      </c>
      <c r="K13" s="193" t="s">
        <v>224</v>
      </c>
      <c r="L13" s="213"/>
    </row>
    <row r="14" spans="1:13" ht="29.25" x14ac:dyDescent="0.25">
      <c r="A14" s="428"/>
      <c r="B14" s="179" t="s">
        <v>225</v>
      </c>
      <c r="C14" s="85">
        <f>C12*C13</f>
        <v>0</v>
      </c>
      <c r="D14" s="85">
        <f t="shared" ref="D14:H14" si="2">D12*D13</f>
        <v>0</v>
      </c>
      <c r="E14" s="85">
        <f t="shared" si="2"/>
        <v>0</v>
      </c>
      <c r="F14" s="85">
        <f t="shared" si="2"/>
        <v>0</v>
      </c>
      <c r="G14" s="85">
        <f t="shared" si="2"/>
        <v>0</v>
      </c>
      <c r="H14" s="85">
        <f t="shared" si="2"/>
        <v>0</v>
      </c>
      <c r="I14" s="85">
        <f>SUM(C14:H14)</f>
        <v>0</v>
      </c>
      <c r="J14" s="179" t="s">
        <v>226</v>
      </c>
      <c r="K14" s="194" t="s">
        <v>227</v>
      </c>
      <c r="L14" s="202" t="s">
        <v>228</v>
      </c>
    </row>
    <row r="15" spans="1:13" s="296" customFormat="1" ht="29.25" x14ac:dyDescent="0.25">
      <c r="A15" s="428"/>
      <c r="B15" s="297" t="s">
        <v>229</v>
      </c>
      <c r="C15" s="298"/>
      <c r="D15" s="299"/>
      <c r="E15" s="299"/>
      <c r="F15" s="299"/>
      <c r="G15" s="299"/>
      <c r="H15" s="299"/>
      <c r="I15" s="299"/>
      <c r="J15" s="300" t="s">
        <v>230</v>
      </c>
      <c r="K15" s="301" t="s">
        <v>231</v>
      </c>
      <c r="L15" s="302"/>
    </row>
    <row r="16" spans="1:13" ht="29.25" x14ac:dyDescent="0.25">
      <c r="A16" s="428"/>
      <c r="B16" s="4" t="s">
        <v>232</v>
      </c>
      <c r="C16" s="84"/>
      <c r="D16" s="78"/>
      <c r="E16" s="78"/>
      <c r="F16" s="78"/>
      <c r="G16" s="78"/>
      <c r="H16" s="78"/>
      <c r="I16" s="78"/>
      <c r="J16" s="5" t="s">
        <v>233</v>
      </c>
      <c r="K16" s="193" t="s">
        <v>234</v>
      </c>
      <c r="L16" s="213"/>
    </row>
    <row r="17" spans="1:12" ht="29.25" x14ac:dyDescent="0.25">
      <c r="A17" s="352"/>
      <c r="B17" s="179" t="s">
        <v>235</v>
      </c>
      <c r="C17" s="85">
        <f>C15*C16</f>
        <v>0</v>
      </c>
      <c r="D17" s="85">
        <f t="shared" ref="D17:H17" si="3">D15*D16</f>
        <v>0</v>
      </c>
      <c r="E17" s="85">
        <f t="shared" si="3"/>
        <v>0</v>
      </c>
      <c r="F17" s="85">
        <f t="shared" si="3"/>
        <v>0</v>
      </c>
      <c r="G17" s="85">
        <f t="shared" si="3"/>
        <v>0</v>
      </c>
      <c r="H17" s="85">
        <f t="shared" si="3"/>
        <v>0</v>
      </c>
      <c r="I17" s="85">
        <f>SUM(C17:H17)</f>
        <v>0</v>
      </c>
      <c r="J17" s="179" t="s">
        <v>236</v>
      </c>
      <c r="K17" s="194" t="s">
        <v>237</v>
      </c>
      <c r="L17" s="202" t="s">
        <v>238</v>
      </c>
    </row>
    <row r="18" spans="1:12" ht="26.25" x14ac:dyDescent="0.25">
      <c r="A18" s="353"/>
      <c r="B18" s="179" t="s">
        <v>63</v>
      </c>
      <c r="C18" s="85">
        <f>C17+C14+C11+C8</f>
        <v>750</v>
      </c>
      <c r="D18" s="85">
        <f t="shared" ref="D18:H18" si="4">D17+D14+D11+D8</f>
        <v>1150</v>
      </c>
      <c r="E18" s="85">
        <f t="shared" si="4"/>
        <v>500</v>
      </c>
      <c r="F18" s="85">
        <f t="shared" si="4"/>
        <v>600</v>
      </c>
      <c r="G18" s="85">
        <f t="shared" si="4"/>
        <v>750</v>
      </c>
      <c r="H18" s="85">
        <f t="shared" si="4"/>
        <v>0</v>
      </c>
      <c r="I18" s="85">
        <f>SUM(C18:H18)</f>
        <v>3750</v>
      </c>
      <c r="J18" s="179" t="s">
        <v>239</v>
      </c>
      <c r="K18" s="194" t="s">
        <v>240</v>
      </c>
      <c r="L18" s="202" t="s">
        <v>241</v>
      </c>
    </row>
    <row r="19" spans="1:12" x14ac:dyDescent="0.25">
      <c r="A19" s="205"/>
      <c r="B19" s="205"/>
      <c r="C19" s="86"/>
      <c r="D19" s="7"/>
      <c r="E19" s="7"/>
      <c r="F19" s="7"/>
      <c r="G19" s="7"/>
      <c r="H19" s="7"/>
      <c r="I19" s="7"/>
      <c r="J19" s="180"/>
      <c r="K19" s="191"/>
      <c r="L19" s="214"/>
    </row>
    <row r="20" spans="1:12" ht="43.5" x14ac:dyDescent="0.25">
      <c r="A20" s="422" t="s">
        <v>242</v>
      </c>
      <c r="B20" s="206" t="s">
        <v>243</v>
      </c>
      <c r="C20" s="87">
        <f>'1 - Data Source Estimates'!E22</f>
        <v>5</v>
      </c>
      <c r="D20" s="168">
        <f>'1 - Data Source Estimates'!H22</f>
        <v>4.5</v>
      </c>
      <c r="E20" s="168">
        <f>'1 - Data Source Estimates'!K22</f>
        <v>0.25</v>
      </c>
      <c r="F20" s="80">
        <v>30</v>
      </c>
      <c r="G20" s="80">
        <v>8</v>
      </c>
      <c r="H20" s="169"/>
      <c r="I20" s="168">
        <f>SUM(C20:H20)</f>
        <v>47.75</v>
      </c>
      <c r="J20" s="179" t="s">
        <v>244</v>
      </c>
      <c r="K20" s="194" t="s">
        <v>245</v>
      </c>
      <c r="L20" s="202" t="s">
        <v>246</v>
      </c>
    </row>
    <row r="21" spans="1:12" x14ac:dyDescent="0.25">
      <c r="A21" s="422"/>
      <c r="B21" s="4" t="s">
        <v>247</v>
      </c>
      <c r="C21" s="229"/>
      <c r="D21" s="275"/>
      <c r="E21" s="275"/>
      <c r="F21" s="275"/>
      <c r="G21" s="275"/>
      <c r="H21" s="275"/>
      <c r="I21" s="229">
        <f>SUM(C21:H21)</f>
        <v>0</v>
      </c>
      <c r="J21" s="4" t="s">
        <v>248</v>
      </c>
      <c r="K21" s="193" t="s">
        <v>249</v>
      </c>
      <c r="L21" s="213"/>
    </row>
    <row r="22" spans="1:12" x14ac:dyDescent="0.25">
      <c r="A22" s="422"/>
      <c r="B22" s="4" t="s">
        <v>250</v>
      </c>
      <c r="C22" s="229"/>
      <c r="D22" s="275"/>
      <c r="E22" s="275"/>
      <c r="F22" s="275"/>
      <c r="G22" s="275"/>
      <c r="H22" s="275"/>
      <c r="I22" s="229">
        <f>SUM(C22:H22)</f>
        <v>0</v>
      </c>
      <c r="J22" s="4" t="s">
        <v>251</v>
      </c>
      <c r="K22" s="193" t="s">
        <v>252</v>
      </c>
      <c r="L22" s="213"/>
    </row>
    <row r="23" spans="1:12" x14ac:dyDescent="0.25">
      <c r="A23" s="422"/>
      <c r="B23" s="206" t="s">
        <v>253</v>
      </c>
      <c r="C23" s="235">
        <f>C21*C22</f>
        <v>0</v>
      </c>
      <c r="D23" s="235">
        <f t="shared" ref="D23:H23" si="5">D21*D22</f>
        <v>0</v>
      </c>
      <c r="E23" s="235">
        <f t="shared" si="5"/>
        <v>0</v>
      </c>
      <c r="F23" s="235">
        <f t="shared" si="5"/>
        <v>0</v>
      </c>
      <c r="G23" s="235">
        <f t="shared" si="5"/>
        <v>0</v>
      </c>
      <c r="H23" s="235">
        <f t="shared" si="5"/>
        <v>0</v>
      </c>
      <c r="I23" s="235">
        <f>SUM(C23:H23)</f>
        <v>0</v>
      </c>
      <c r="J23" s="179" t="s">
        <v>254</v>
      </c>
      <c r="K23" s="194" t="s">
        <v>255</v>
      </c>
      <c r="L23" s="202" t="s">
        <v>256</v>
      </c>
    </row>
    <row r="24" spans="1:12" ht="29.25" x14ac:dyDescent="0.25">
      <c r="A24" s="354"/>
      <c r="B24" s="179" t="s">
        <v>64</v>
      </c>
      <c r="C24" s="87">
        <f>C23+C20</f>
        <v>5</v>
      </c>
      <c r="D24" s="87">
        <f t="shared" ref="D24:H24" si="6">D23+D20</f>
        <v>4.5</v>
      </c>
      <c r="E24" s="235">
        <f t="shared" si="6"/>
        <v>0.25</v>
      </c>
      <c r="F24" s="87">
        <f t="shared" si="6"/>
        <v>30</v>
      </c>
      <c r="G24" s="87">
        <f t="shared" si="6"/>
        <v>8</v>
      </c>
      <c r="H24" s="87">
        <f t="shared" si="6"/>
        <v>0</v>
      </c>
      <c r="I24" s="87">
        <f>SUM(C24:H24)</f>
        <v>47.75</v>
      </c>
      <c r="J24" s="179" t="s">
        <v>257</v>
      </c>
      <c r="K24" s="194" t="s">
        <v>258</v>
      </c>
      <c r="L24" s="202" t="s">
        <v>259</v>
      </c>
    </row>
    <row r="25" spans="1:12" x14ac:dyDescent="0.25">
      <c r="A25" s="205"/>
      <c r="B25" s="207"/>
      <c r="C25" s="86"/>
      <c r="D25" s="7"/>
      <c r="E25" s="7"/>
      <c r="F25" s="7"/>
      <c r="G25" s="7"/>
      <c r="H25" s="7"/>
      <c r="I25" s="7"/>
      <c r="J25" s="180"/>
      <c r="K25" s="191"/>
      <c r="L25" s="214"/>
    </row>
    <row r="26" spans="1:12" ht="51.75" x14ac:dyDescent="0.25">
      <c r="A26" s="424" t="s">
        <v>23</v>
      </c>
      <c r="B26" s="83" t="s">
        <v>260</v>
      </c>
      <c r="C26" s="93"/>
      <c r="D26" s="79"/>
      <c r="E26" s="79"/>
      <c r="F26" s="79"/>
      <c r="G26" s="79"/>
      <c r="H26" s="79"/>
      <c r="I26" s="79"/>
      <c r="J26" s="181"/>
      <c r="K26" s="197"/>
      <c r="L26" s="215"/>
    </row>
    <row r="27" spans="1:12" ht="29.25" x14ac:dyDescent="0.25">
      <c r="A27" s="425"/>
      <c r="B27" s="208" t="s">
        <v>261</v>
      </c>
      <c r="C27" s="88">
        <f>C24</f>
        <v>5</v>
      </c>
      <c r="D27" s="88">
        <f t="shared" ref="D27:H27" si="7">D24</f>
        <v>4.5</v>
      </c>
      <c r="E27" s="229">
        <f t="shared" si="7"/>
        <v>0.25</v>
      </c>
      <c r="F27" s="88">
        <v>30</v>
      </c>
      <c r="G27" s="88">
        <v>8</v>
      </c>
      <c r="H27" s="88">
        <f t="shared" si="7"/>
        <v>0</v>
      </c>
      <c r="I27" s="88">
        <f>SUM(C27:H27)</f>
        <v>47.75</v>
      </c>
      <c r="J27" s="5" t="s">
        <v>262</v>
      </c>
      <c r="K27" s="193" t="s">
        <v>258</v>
      </c>
      <c r="L27" s="213" t="s">
        <v>258</v>
      </c>
    </row>
    <row r="28" spans="1:12" ht="29.25" x14ac:dyDescent="0.25">
      <c r="A28" s="425"/>
      <c r="B28" s="208" t="s">
        <v>153</v>
      </c>
      <c r="C28" s="89">
        <v>0.2</v>
      </c>
      <c r="D28" s="89">
        <v>0.65</v>
      </c>
      <c r="E28" s="89">
        <v>0.12</v>
      </c>
      <c r="F28" s="89">
        <v>0.25</v>
      </c>
      <c r="G28" s="89">
        <v>0.7</v>
      </c>
      <c r="H28" s="270"/>
      <c r="I28" s="270"/>
      <c r="J28" s="5" t="s">
        <v>263</v>
      </c>
      <c r="K28" s="193" t="s">
        <v>264</v>
      </c>
      <c r="L28" s="213"/>
    </row>
    <row r="29" spans="1:12" x14ac:dyDescent="0.25">
      <c r="A29" s="425"/>
      <c r="B29" s="227" t="s">
        <v>265</v>
      </c>
      <c r="C29" s="273">
        <f>C27*(1-C28)</f>
        <v>4</v>
      </c>
      <c r="D29" s="273">
        <f t="shared" ref="D29:H29" si="8">D27*(1-D28)</f>
        <v>1.575</v>
      </c>
      <c r="E29" s="273">
        <f t="shared" si="8"/>
        <v>0.22</v>
      </c>
      <c r="F29" s="274">
        <f t="shared" si="8"/>
        <v>22.5</v>
      </c>
      <c r="G29" s="273">
        <f t="shared" si="8"/>
        <v>2.4000000000000004</v>
      </c>
      <c r="H29" s="273">
        <f t="shared" si="8"/>
        <v>0</v>
      </c>
      <c r="I29" s="273">
        <f>SUM(C29:H29)</f>
        <v>30.695</v>
      </c>
      <c r="J29" s="179" t="s">
        <v>266</v>
      </c>
      <c r="K29" s="194" t="s">
        <v>267</v>
      </c>
      <c r="L29" s="202" t="s">
        <v>268</v>
      </c>
    </row>
    <row r="30" spans="1:12" ht="29.25" x14ac:dyDescent="0.25">
      <c r="A30" s="425"/>
      <c r="B30" s="11" t="s">
        <v>155</v>
      </c>
      <c r="C30" s="271">
        <v>1.5</v>
      </c>
      <c r="D30" s="271">
        <v>4</v>
      </c>
      <c r="E30" s="271">
        <v>6</v>
      </c>
      <c r="F30" s="271">
        <v>2</v>
      </c>
      <c r="G30" s="271">
        <v>2</v>
      </c>
      <c r="H30" s="233"/>
      <c r="I30" s="233">
        <f>SUM(C30:H30)</f>
        <v>15.5</v>
      </c>
      <c r="J30" s="5" t="s">
        <v>269</v>
      </c>
      <c r="K30" s="193" t="s">
        <v>270</v>
      </c>
      <c r="L30" s="213"/>
    </row>
    <row r="31" spans="1:12" ht="29.25" x14ac:dyDescent="0.25">
      <c r="A31" s="426"/>
      <c r="B31" s="11" t="s">
        <v>271</v>
      </c>
      <c r="C31" s="84">
        <v>300</v>
      </c>
      <c r="D31" s="84">
        <v>300</v>
      </c>
      <c r="E31" s="84">
        <v>300</v>
      </c>
      <c r="F31" s="84">
        <v>300</v>
      </c>
      <c r="G31" s="84">
        <v>300</v>
      </c>
      <c r="H31" s="81"/>
      <c r="I31" s="81"/>
      <c r="J31" s="5" t="s">
        <v>272</v>
      </c>
      <c r="K31" s="193" t="s">
        <v>273</v>
      </c>
      <c r="L31" s="213"/>
    </row>
    <row r="32" spans="1:12" x14ac:dyDescent="0.25">
      <c r="A32" s="355"/>
      <c r="B32" s="179" t="s">
        <v>65</v>
      </c>
      <c r="C32" s="85">
        <f>C30*C31</f>
        <v>450</v>
      </c>
      <c r="D32" s="85">
        <f t="shared" ref="D32:H32" si="9">D30*D31</f>
        <v>1200</v>
      </c>
      <c r="E32" s="85">
        <f t="shared" si="9"/>
        <v>1800</v>
      </c>
      <c r="F32" s="85">
        <f t="shared" si="9"/>
        <v>600</v>
      </c>
      <c r="G32" s="85">
        <f t="shared" si="9"/>
        <v>600</v>
      </c>
      <c r="H32" s="85">
        <f t="shared" si="9"/>
        <v>0</v>
      </c>
      <c r="I32" s="85">
        <f>SUM(C32:H32)</f>
        <v>4650</v>
      </c>
      <c r="J32" s="179" t="s">
        <v>274</v>
      </c>
      <c r="K32" s="194" t="s">
        <v>275</v>
      </c>
      <c r="L32" s="202" t="s">
        <v>276</v>
      </c>
    </row>
    <row r="33" spans="1:12" x14ac:dyDescent="0.25">
      <c r="A33" s="205"/>
      <c r="B33" s="209"/>
      <c r="C33" s="90"/>
      <c r="D33" s="8"/>
      <c r="E33" s="8"/>
      <c r="F33" s="8"/>
      <c r="G33" s="8"/>
      <c r="H33" s="8"/>
      <c r="I33" s="8"/>
      <c r="J33" s="182"/>
      <c r="K33" s="198"/>
      <c r="L33" s="216"/>
    </row>
    <row r="34" spans="1:12" ht="26.25" x14ac:dyDescent="0.25">
      <c r="A34" s="422" t="s">
        <v>277</v>
      </c>
      <c r="B34" s="82" t="s">
        <v>278</v>
      </c>
      <c r="C34" s="93"/>
      <c r="D34" s="79"/>
      <c r="E34" s="79"/>
      <c r="F34" s="79"/>
      <c r="G34" s="79"/>
      <c r="H34" s="79"/>
      <c r="I34" s="79"/>
      <c r="J34" s="181"/>
      <c r="K34" s="197"/>
      <c r="L34" s="215"/>
    </row>
    <row r="35" spans="1:12" ht="29.25" x14ac:dyDescent="0.25">
      <c r="A35" s="422"/>
      <c r="B35" s="5" t="s">
        <v>279</v>
      </c>
      <c r="C35" s="91">
        <v>2</v>
      </c>
      <c r="D35" s="89">
        <v>1.5</v>
      </c>
      <c r="E35" s="89">
        <v>1.1200000000000001</v>
      </c>
      <c r="F35" s="89">
        <v>1.5</v>
      </c>
      <c r="G35" s="89">
        <v>1.1499999999999999</v>
      </c>
      <c r="H35" s="234"/>
      <c r="I35" s="234"/>
      <c r="J35" s="5" t="s">
        <v>280</v>
      </c>
      <c r="K35" s="193" t="s">
        <v>281</v>
      </c>
      <c r="L35" s="213"/>
    </row>
    <row r="36" spans="1:12" x14ac:dyDescent="0.25">
      <c r="A36" s="422"/>
      <c r="B36" s="179" t="s">
        <v>282</v>
      </c>
      <c r="C36" s="235">
        <f>C29*C35</f>
        <v>8</v>
      </c>
      <c r="D36" s="235">
        <f t="shared" ref="D36:H36" si="10">D29*D35</f>
        <v>2.3624999999999998</v>
      </c>
      <c r="E36" s="235">
        <f t="shared" si="10"/>
        <v>0.24640000000000004</v>
      </c>
      <c r="F36" s="235">
        <f t="shared" si="10"/>
        <v>33.75</v>
      </c>
      <c r="G36" s="235">
        <f t="shared" si="10"/>
        <v>2.7600000000000002</v>
      </c>
      <c r="H36" s="235">
        <f t="shared" si="10"/>
        <v>0</v>
      </c>
      <c r="I36" s="235">
        <f>SUM(C36:H36)</f>
        <v>47.118899999999996</v>
      </c>
      <c r="J36" s="179" t="s">
        <v>283</v>
      </c>
      <c r="K36" s="194" t="s">
        <v>284</v>
      </c>
      <c r="L36" s="202" t="s">
        <v>285</v>
      </c>
    </row>
    <row r="37" spans="1:12" x14ac:dyDescent="0.25">
      <c r="A37" s="422"/>
      <c r="B37" s="5" t="s">
        <v>114</v>
      </c>
      <c r="C37" s="84">
        <v>25</v>
      </c>
      <c r="D37" s="84">
        <v>25</v>
      </c>
      <c r="E37" s="84">
        <v>25</v>
      </c>
      <c r="F37" s="84">
        <v>25</v>
      </c>
      <c r="G37" s="84">
        <v>25</v>
      </c>
      <c r="H37" s="78"/>
      <c r="I37" s="78"/>
      <c r="J37" s="5" t="s">
        <v>286</v>
      </c>
      <c r="K37" s="193" t="s">
        <v>287</v>
      </c>
      <c r="L37" s="213"/>
    </row>
    <row r="38" spans="1:12" ht="43.5" x14ac:dyDescent="0.25">
      <c r="A38" s="422"/>
      <c r="B38" s="179" t="s">
        <v>66</v>
      </c>
      <c r="C38" s="85">
        <f>C36*C37</f>
        <v>200</v>
      </c>
      <c r="D38" s="85">
        <f t="shared" ref="D38:H38" si="11">D36*D37</f>
        <v>59.062499999999993</v>
      </c>
      <c r="E38" s="85">
        <f t="shared" si="11"/>
        <v>6.160000000000001</v>
      </c>
      <c r="F38" s="85">
        <f t="shared" si="11"/>
        <v>843.75</v>
      </c>
      <c r="G38" s="85">
        <f t="shared" si="11"/>
        <v>69</v>
      </c>
      <c r="H38" s="85">
        <f t="shared" si="11"/>
        <v>0</v>
      </c>
      <c r="I38" s="85">
        <f>SUM(C38:H38)</f>
        <v>1177.9725000000001</v>
      </c>
      <c r="J38" s="179" t="s">
        <v>288</v>
      </c>
      <c r="K38" s="194" t="s">
        <v>289</v>
      </c>
      <c r="L38" s="202" t="s">
        <v>290</v>
      </c>
    </row>
    <row r="39" spans="1:12" ht="29.25" x14ac:dyDescent="0.25">
      <c r="A39" s="422"/>
      <c r="B39" s="5" t="s">
        <v>291</v>
      </c>
      <c r="C39" s="89">
        <v>0.2</v>
      </c>
      <c r="D39" s="89">
        <v>0.1</v>
      </c>
      <c r="E39" s="89">
        <v>0.12</v>
      </c>
      <c r="F39" s="89">
        <v>0.55000000000000004</v>
      </c>
      <c r="G39" s="89">
        <v>0.15</v>
      </c>
      <c r="H39" s="237"/>
      <c r="I39" s="237"/>
      <c r="J39" s="5" t="s">
        <v>292</v>
      </c>
      <c r="K39" s="193" t="s">
        <v>293</v>
      </c>
      <c r="L39" s="213"/>
    </row>
    <row r="40" spans="1:12" x14ac:dyDescent="0.25">
      <c r="A40" s="422"/>
      <c r="B40" s="179" t="s">
        <v>294</v>
      </c>
      <c r="C40" s="235">
        <f>C36*(1-C39)</f>
        <v>6.4</v>
      </c>
      <c r="D40" s="235">
        <f t="shared" ref="D40:H40" si="12">D36*(1-D39)</f>
        <v>2.1262499999999998</v>
      </c>
      <c r="E40" s="235">
        <f t="shared" si="12"/>
        <v>0.21683200000000002</v>
      </c>
      <c r="F40" s="235">
        <f t="shared" si="12"/>
        <v>15.187499999999998</v>
      </c>
      <c r="G40" s="235">
        <f t="shared" si="12"/>
        <v>2.3460000000000001</v>
      </c>
      <c r="H40" s="235">
        <f t="shared" si="12"/>
        <v>0</v>
      </c>
      <c r="I40" s="235">
        <f>SUM(C40:H40)</f>
        <v>26.276582000000001</v>
      </c>
      <c r="J40" s="179" t="s">
        <v>295</v>
      </c>
      <c r="K40" s="194" t="s">
        <v>296</v>
      </c>
      <c r="L40" s="202" t="s">
        <v>297</v>
      </c>
    </row>
    <row r="41" spans="1:12" ht="29.25" x14ac:dyDescent="0.25">
      <c r="A41" s="422"/>
      <c r="B41" s="5" t="s">
        <v>298</v>
      </c>
      <c r="C41" s="89">
        <v>0.65</v>
      </c>
      <c r="D41" s="89">
        <v>0.8</v>
      </c>
      <c r="E41" s="89">
        <v>0.45</v>
      </c>
      <c r="F41" s="89">
        <v>0.8</v>
      </c>
      <c r="G41" s="89">
        <v>0.65</v>
      </c>
      <c r="H41" s="236"/>
      <c r="I41" s="236"/>
      <c r="J41" s="5" t="s">
        <v>299</v>
      </c>
      <c r="K41" s="193" t="s">
        <v>300</v>
      </c>
      <c r="L41" s="213"/>
    </row>
    <row r="42" spans="1:12" x14ac:dyDescent="0.25">
      <c r="A42" s="422"/>
      <c r="B42" s="179" t="s">
        <v>301</v>
      </c>
      <c r="C42" s="235">
        <f>C40*(1-C41)</f>
        <v>2.2399999999999998</v>
      </c>
      <c r="D42" s="235">
        <f t="shared" ref="D42:H42" si="13">D40*(1-D41)</f>
        <v>0.42524999999999985</v>
      </c>
      <c r="E42" s="235">
        <f t="shared" si="13"/>
        <v>0.11925760000000002</v>
      </c>
      <c r="F42" s="235">
        <f t="shared" si="13"/>
        <v>3.0374999999999988</v>
      </c>
      <c r="G42" s="235">
        <f t="shared" si="13"/>
        <v>0.82109999999999994</v>
      </c>
      <c r="H42" s="235">
        <f t="shared" si="13"/>
        <v>0</v>
      </c>
      <c r="I42" s="235">
        <f>SUM(C42:H42)</f>
        <v>6.6431075999999987</v>
      </c>
      <c r="J42" s="179" t="s">
        <v>302</v>
      </c>
      <c r="K42" s="194" t="s">
        <v>303</v>
      </c>
      <c r="L42" s="202" t="s">
        <v>304</v>
      </c>
    </row>
    <row r="43" spans="1:12" ht="29.25" x14ac:dyDescent="0.25">
      <c r="A43" s="422"/>
      <c r="B43" s="5" t="s">
        <v>305</v>
      </c>
      <c r="C43" s="89">
        <v>0.4</v>
      </c>
      <c r="D43" s="89">
        <v>0.2</v>
      </c>
      <c r="E43" s="89">
        <v>0</v>
      </c>
      <c r="F43" s="89">
        <v>0.2</v>
      </c>
      <c r="G43" s="89">
        <v>0.2</v>
      </c>
      <c r="H43" s="236"/>
      <c r="I43" s="236"/>
      <c r="J43" s="5" t="s">
        <v>306</v>
      </c>
      <c r="K43" s="193" t="s">
        <v>307</v>
      </c>
      <c r="L43" s="213"/>
    </row>
    <row r="44" spans="1:12" x14ac:dyDescent="0.25">
      <c r="A44" s="422"/>
      <c r="B44" s="5" t="s">
        <v>308</v>
      </c>
      <c r="C44" s="251">
        <f>C42*(1-C43)</f>
        <v>1.3439999999999999</v>
      </c>
      <c r="D44" s="251">
        <f t="shared" ref="D44:H44" si="14">D42*(1-D43)</f>
        <v>0.34019999999999989</v>
      </c>
      <c r="E44" s="251">
        <f t="shared" si="14"/>
        <v>0.11925760000000002</v>
      </c>
      <c r="F44" s="251">
        <f t="shared" si="14"/>
        <v>2.4299999999999993</v>
      </c>
      <c r="G44" s="251">
        <f t="shared" si="14"/>
        <v>0.65688000000000002</v>
      </c>
      <c r="H44" s="251">
        <f t="shared" si="14"/>
        <v>0</v>
      </c>
      <c r="I44" s="251">
        <f>SUM(C44:H44)</f>
        <v>4.8903375999999996</v>
      </c>
      <c r="J44" s="179" t="s">
        <v>309</v>
      </c>
      <c r="K44" s="194" t="s">
        <v>310</v>
      </c>
      <c r="L44" s="202" t="s">
        <v>311</v>
      </c>
    </row>
    <row r="45" spans="1:12" ht="29.25" x14ac:dyDescent="0.25">
      <c r="A45" s="422"/>
      <c r="B45" s="4" t="s">
        <v>312</v>
      </c>
      <c r="C45" s="84">
        <v>75</v>
      </c>
      <c r="D45" s="84">
        <v>75</v>
      </c>
      <c r="E45" s="84">
        <v>75</v>
      </c>
      <c r="F45" s="84">
        <v>75</v>
      </c>
      <c r="G45" s="84">
        <v>75</v>
      </c>
      <c r="H45" s="78"/>
      <c r="I45" s="78"/>
      <c r="J45" s="5" t="s">
        <v>313</v>
      </c>
      <c r="K45" s="193" t="s">
        <v>314</v>
      </c>
      <c r="L45" s="213"/>
    </row>
    <row r="46" spans="1:12" x14ac:dyDescent="0.25">
      <c r="A46" s="422"/>
      <c r="B46" s="179" t="s">
        <v>67</v>
      </c>
      <c r="C46" s="85">
        <f>C45*C42</f>
        <v>167.99999999999997</v>
      </c>
      <c r="D46" s="85">
        <f t="shared" ref="D46:H46" si="15">D45*D42</f>
        <v>31.89374999999999</v>
      </c>
      <c r="E46" s="85">
        <f t="shared" si="15"/>
        <v>8.9443200000000012</v>
      </c>
      <c r="F46" s="85">
        <f t="shared" si="15"/>
        <v>227.81249999999991</v>
      </c>
      <c r="G46" s="85">
        <f t="shared" si="15"/>
        <v>61.582499999999996</v>
      </c>
      <c r="H46" s="85">
        <f t="shared" si="15"/>
        <v>0</v>
      </c>
      <c r="I46" s="85">
        <f>SUM(C46:H46)</f>
        <v>498.23306999999988</v>
      </c>
      <c r="J46" s="179" t="s">
        <v>315</v>
      </c>
      <c r="K46" s="194" t="s">
        <v>316</v>
      </c>
      <c r="L46" s="202" t="s">
        <v>317</v>
      </c>
    </row>
    <row r="47" spans="1:12" ht="29.25" x14ac:dyDescent="0.25">
      <c r="A47" s="422"/>
      <c r="B47" s="179" t="s">
        <v>318</v>
      </c>
      <c r="C47" s="235">
        <f>C44</f>
        <v>1.3439999999999999</v>
      </c>
      <c r="D47" s="235">
        <f t="shared" ref="D47:H47" si="16">D44</f>
        <v>0.34019999999999989</v>
      </c>
      <c r="E47" s="235">
        <f t="shared" si="16"/>
        <v>0.11925760000000002</v>
      </c>
      <c r="F47" s="235">
        <f t="shared" si="16"/>
        <v>2.4299999999999993</v>
      </c>
      <c r="G47" s="235">
        <f t="shared" si="16"/>
        <v>0.65688000000000002</v>
      </c>
      <c r="H47" s="235">
        <f t="shared" si="16"/>
        <v>0</v>
      </c>
      <c r="I47" s="235">
        <f>SUM(C47:H47)</f>
        <v>4.8903375999999996</v>
      </c>
      <c r="J47" s="179" t="s">
        <v>319</v>
      </c>
      <c r="K47" s="194" t="s">
        <v>310</v>
      </c>
      <c r="L47" s="202" t="s">
        <v>310</v>
      </c>
    </row>
    <row r="48" spans="1:12" x14ac:dyDescent="0.25">
      <c r="A48" s="422"/>
      <c r="B48" s="5" t="s">
        <v>320</v>
      </c>
      <c r="C48" s="84">
        <v>51</v>
      </c>
      <c r="D48" s="84">
        <v>51</v>
      </c>
      <c r="E48" s="84">
        <v>51</v>
      </c>
      <c r="F48" s="84">
        <v>51</v>
      </c>
      <c r="G48" s="84">
        <v>51</v>
      </c>
      <c r="H48" s="78"/>
      <c r="I48" s="78"/>
      <c r="J48" s="5" t="s">
        <v>321</v>
      </c>
      <c r="K48" s="193" t="s">
        <v>322</v>
      </c>
      <c r="L48" s="213"/>
    </row>
    <row r="49" spans="1:12" x14ac:dyDescent="0.25">
      <c r="A49" s="423"/>
      <c r="B49" s="179" t="s">
        <v>68</v>
      </c>
      <c r="C49" s="85">
        <f>C47*C48</f>
        <v>68.543999999999997</v>
      </c>
      <c r="D49" s="85">
        <f t="shared" ref="D49:H49" si="17">D47*D48</f>
        <v>17.350199999999994</v>
      </c>
      <c r="E49" s="85">
        <f t="shared" si="17"/>
        <v>6.0821376000000011</v>
      </c>
      <c r="F49" s="85">
        <f t="shared" si="17"/>
        <v>123.92999999999996</v>
      </c>
      <c r="G49" s="85">
        <f t="shared" si="17"/>
        <v>33.500880000000002</v>
      </c>
      <c r="H49" s="85">
        <f t="shared" si="17"/>
        <v>0</v>
      </c>
      <c r="I49" s="85">
        <f>SUM(C49:H49)</f>
        <v>249.40721759999994</v>
      </c>
      <c r="J49" s="179" t="s">
        <v>323</v>
      </c>
      <c r="K49" s="194" t="s">
        <v>324</v>
      </c>
      <c r="L49" s="202" t="s">
        <v>325</v>
      </c>
    </row>
    <row r="50" spans="1:12" ht="29.25" x14ac:dyDescent="0.25">
      <c r="A50" s="356"/>
      <c r="B50" s="179" t="s">
        <v>69</v>
      </c>
      <c r="C50" s="85">
        <f>C49+C46+C38</f>
        <v>436.54399999999998</v>
      </c>
      <c r="D50" s="85">
        <f t="shared" ref="D50:H50" si="18">D49+D46+D38</f>
        <v>108.30644999999998</v>
      </c>
      <c r="E50" s="85">
        <f t="shared" si="18"/>
        <v>21.186457600000004</v>
      </c>
      <c r="F50" s="85">
        <f t="shared" si="18"/>
        <v>1195.4924999999998</v>
      </c>
      <c r="G50" s="85">
        <f t="shared" si="18"/>
        <v>164.08338000000001</v>
      </c>
      <c r="H50" s="85">
        <f t="shared" si="18"/>
        <v>0</v>
      </c>
      <c r="I50" s="85">
        <f>SUM(C50:H50)</f>
        <v>1925.6127875999998</v>
      </c>
      <c r="J50" s="179" t="s">
        <v>326</v>
      </c>
      <c r="K50" s="194" t="s">
        <v>327</v>
      </c>
      <c r="L50" s="202" t="s">
        <v>328</v>
      </c>
    </row>
    <row r="51" spans="1:12" x14ac:dyDescent="0.25">
      <c r="A51" s="205"/>
      <c r="B51" s="210"/>
      <c r="C51" s="86"/>
      <c r="D51" s="7"/>
      <c r="E51" s="7"/>
      <c r="F51" s="7"/>
      <c r="G51" s="7"/>
      <c r="H51" s="7"/>
      <c r="I51" s="7"/>
      <c r="J51" s="180"/>
      <c r="K51" s="191"/>
      <c r="L51" s="214"/>
    </row>
    <row r="52" spans="1:12" ht="39" x14ac:dyDescent="0.25">
      <c r="A52" s="429" t="s">
        <v>25</v>
      </c>
      <c r="B52" s="82" t="s">
        <v>329</v>
      </c>
      <c r="C52" s="93"/>
      <c r="D52" s="79"/>
      <c r="E52" s="79"/>
      <c r="F52" s="79"/>
      <c r="G52" s="79"/>
      <c r="H52" s="79"/>
      <c r="I52" s="79"/>
      <c r="J52" s="181"/>
      <c r="K52" s="197"/>
      <c r="L52" s="215"/>
    </row>
    <row r="53" spans="1:12" ht="29.25" x14ac:dyDescent="0.25">
      <c r="A53" s="429"/>
      <c r="B53" s="4" t="s">
        <v>330</v>
      </c>
      <c r="C53" s="96">
        <v>24</v>
      </c>
      <c r="D53" s="96">
        <v>24</v>
      </c>
      <c r="E53" s="96">
        <v>24</v>
      </c>
      <c r="F53" s="96">
        <v>24</v>
      </c>
      <c r="G53" s="96">
        <v>24</v>
      </c>
      <c r="H53" s="238">
        <v>24</v>
      </c>
      <c r="I53" s="238">
        <v>24</v>
      </c>
      <c r="J53" s="5" t="s">
        <v>331</v>
      </c>
      <c r="K53" s="193" t="s">
        <v>332</v>
      </c>
      <c r="L53" s="213"/>
    </row>
    <row r="54" spans="1:12" x14ac:dyDescent="0.25">
      <c r="A54" s="429"/>
      <c r="B54" s="179" t="s">
        <v>333</v>
      </c>
      <c r="C54" s="235">
        <f>C47</f>
        <v>1.3439999999999999</v>
      </c>
      <c r="D54" s="235">
        <f t="shared" ref="D54:H54" si="19">D47</f>
        <v>0.34019999999999989</v>
      </c>
      <c r="E54" s="235">
        <f t="shared" si="19"/>
        <v>0.11925760000000002</v>
      </c>
      <c r="F54" s="235">
        <f t="shared" si="19"/>
        <v>2.4299999999999993</v>
      </c>
      <c r="G54" s="235">
        <f t="shared" si="19"/>
        <v>0.65688000000000002</v>
      </c>
      <c r="H54" s="235">
        <f t="shared" si="19"/>
        <v>0</v>
      </c>
      <c r="I54" s="235">
        <f>SUM(C54:H54)</f>
        <v>4.8903375999999996</v>
      </c>
      <c r="J54" s="179" t="s">
        <v>334</v>
      </c>
      <c r="K54" s="194" t="s">
        <v>310</v>
      </c>
      <c r="L54" s="202" t="s">
        <v>310</v>
      </c>
    </row>
    <row r="55" spans="1:12" ht="29.25" x14ac:dyDescent="0.25">
      <c r="A55" s="429"/>
      <c r="B55" s="5" t="s">
        <v>335</v>
      </c>
      <c r="C55" s="84">
        <v>13</v>
      </c>
      <c r="D55" s="84">
        <v>13</v>
      </c>
      <c r="E55" s="84">
        <v>13</v>
      </c>
      <c r="F55" s="84">
        <v>13</v>
      </c>
      <c r="G55" s="84">
        <v>13</v>
      </c>
      <c r="H55" s="78"/>
      <c r="I55" s="78"/>
      <c r="J55" s="5" t="s">
        <v>336</v>
      </c>
      <c r="K55" s="193" t="s">
        <v>337</v>
      </c>
      <c r="L55" s="213"/>
    </row>
    <row r="56" spans="1:12" ht="29.25" x14ac:dyDescent="0.25">
      <c r="A56" s="429"/>
      <c r="B56" s="206" t="s">
        <v>338</v>
      </c>
      <c r="C56" s="85">
        <f>C53*C54*C55</f>
        <v>419.32799999999997</v>
      </c>
      <c r="D56" s="85">
        <f t="shared" ref="D56:H56" si="20">D53*D54*D55</f>
        <v>106.14239999999997</v>
      </c>
      <c r="E56" s="85">
        <f t="shared" si="20"/>
        <v>37.208371200000009</v>
      </c>
      <c r="F56" s="85">
        <f t="shared" si="20"/>
        <v>758.15999999999974</v>
      </c>
      <c r="G56" s="85">
        <f t="shared" si="20"/>
        <v>204.94656000000001</v>
      </c>
      <c r="H56" s="85">
        <f t="shared" si="20"/>
        <v>0</v>
      </c>
      <c r="I56" s="85">
        <f>SUM(C56:H56)</f>
        <v>1525.7853311999997</v>
      </c>
      <c r="J56" s="179" t="s">
        <v>339</v>
      </c>
      <c r="K56" s="194" t="s">
        <v>340</v>
      </c>
      <c r="L56" s="202" t="s">
        <v>341</v>
      </c>
    </row>
    <row r="57" spans="1:12" ht="29.25" x14ac:dyDescent="0.25">
      <c r="A57" s="429"/>
      <c r="B57" s="292" t="s">
        <v>342</v>
      </c>
      <c r="C57" s="276"/>
      <c r="D57" s="276"/>
      <c r="E57" s="276"/>
      <c r="F57" s="276"/>
      <c r="G57" s="276"/>
      <c r="H57" s="277"/>
      <c r="I57" s="88">
        <v>1</v>
      </c>
      <c r="J57" s="5" t="s">
        <v>343</v>
      </c>
      <c r="K57" s="193" t="s">
        <v>344</v>
      </c>
      <c r="L57" s="213"/>
    </row>
    <row r="58" spans="1:12" x14ac:dyDescent="0.25">
      <c r="A58" s="429"/>
      <c r="B58" s="292" t="s">
        <v>345</v>
      </c>
      <c r="C58" s="173"/>
      <c r="D58" s="173"/>
      <c r="E58" s="173"/>
      <c r="F58" s="173"/>
      <c r="G58" s="173"/>
      <c r="H58" s="175"/>
      <c r="I58" s="84">
        <v>85</v>
      </c>
      <c r="J58" s="5" t="s">
        <v>346</v>
      </c>
      <c r="K58" s="193" t="s">
        <v>347</v>
      </c>
      <c r="L58" s="213"/>
    </row>
    <row r="59" spans="1:12" x14ac:dyDescent="0.25">
      <c r="A59" s="430"/>
      <c r="B59" s="292" t="s">
        <v>348</v>
      </c>
      <c r="C59" s="173"/>
      <c r="D59" s="173"/>
      <c r="E59" s="173"/>
      <c r="F59" s="173"/>
      <c r="G59" s="173"/>
      <c r="H59" s="173"/>
      <c r="I59" s="293">
        <f>I57*I58*I53</f>
        <v>2040</v>
      </c>
      <c r="J59" s="179" t="s">
        <v>349</v>
      </c>
      <c r="K59" s="194" t="s">
        <v>350</v>
      </c>
      <c r="L59" s="202" t="s">
        <v>351</v>
      </c>
    </row>
    <row r="60" spans="1:12" ht="33" customHeight="1" x14ac:dyDescent="0.25">
      <c r="A60" s="352"/>
      <c r="B60" s="179" t="s">
        <v>352</v>
      </c>
      <c r="C60" s="85">
        <f>I59/I116</f>
        <v>408</v>
      </c>
      <c r="D60" s="85">
        <f>I59/I116</f>
        <v>408</v>
      </c>
      <c r="E60" s="85">
        <f>I59/I116</f>
        <v>408</v>
      </c>
      <c r="F60" s="85">
        <f>I59/I116</f>
        <v>408</v>
      </c>
      <c r="G60" s="85">
        <f>I59/I116</f>
        <v>408</v>
      </c>
      <c r="H60" s="85"/>
      <c r="I60" s="85">
        <f>SUM(C60:H60)</f>
        <v>2040</v>
      </c>
      <c r="J60" s="179" t="s">
        <v>353</v>
      </c>
      <c r="K60" s="194" t="s">
        <v>350</v>
      </c>
      <c r="L60" s="202"/>
    </row>
    <row r="61" spans="1:12" x14ac:dyDescent="0.25">
      <c r="A61" s="356"/>
      <c r="B61" s="179" t="s">
        <v>72</v>
      </c>
      <c r="C61" s="85">
        <f>C60+C56</f>
        <v>827.32799999999997</v>
      </c>
      <c r="D61" s="85">
        <f t="shared" ref="D61:H61" si="21">D60+D56</f>
        <v>514.14239999999995</v>
      </c>
      <c r="E61" s="85">
        <f t="shared" si="21"/>
        <v>445.20837119999999</v>
      </c>
      <c r="F61" s="85">
        <f t="shared" si="21"/>
        <v>1166.1599999999999</v>
      </c>
      <c r="G61" s="85">
        <f t="shared" si="21"/>
        <v>612.94655999999998</v>
      </c>
      <c r="H61" s="85">
        <f t="shared" si="21"/>
        <v>0</v>
      </c>
      <c r="I61" s="85">
        <f>SUM(C61:H61)</f>
        <v>3565.7853311999997</v>
      </c>
      <c r="J61" s="179" t="s">
        <v>354</v>
      </c>
      <c r="K61" s="194" t="s">
        <v>355</v>
      </c>
      <c r="L61" s="202" t="s">
        <v>356</v>
      </c>
    </row>
    <row r="62" spans="1:12" x14ac:dyDescent="0.25">
      <c r="A62" s="205"/>
      <c r="B62" s="205"/>
      <c r="C62" s="94"/>
      <c r="D62" s="95"/>
      <c r="E62" s="95"/>
      <c r="F62" s="95"/>
      <c r="G62" s="95"/>
      <c r="H62" s="7"/>
      <c r="I62" s="7"/>
      <c r="J62" s="183"/>
      <c r="K62" s="196"/>
      <c r="L62" s="214"/>
    </row>
    <row r="63" spans="1:12" ht="64.5" x14ac:dyDescent="0.25">
      <c r="A63" s="422" t="s">
        <v>357</v>
      </c>
      <c r="B63" s="82" t="s">
        <v>358</v>
      </c>
      <c r="C63" s="93"/>
      <c r="D63" s="79"/>
      <c r="E63" s="79"/>
      <c r="F63" s="79"/>
      <c r="G63" s="79"/>
      <c r="H63" s="79"/>
      <c r="I63" s="79"/>
      <c r="J63" s="181"/>
      <c r="K63" s="197"/>
      <c r="L63" s="215"/>
    </row>
    <row r="64" spans="1:12" ht="29.25" x14ac:dyDescent="0.25">
      <c r="A64" s="422"/>
      <c r="B64" s="5" t="s">
        <v>165</v>
      </c>
      <c r="C64" s="239">
        <v>6000</v>
      </c>
      <c r="D64" s="240">
        <v>4000</v>
      </c>
      <c r="E64" s="240">
        <v>8000</v>
      </c>
      <c r="F64" s="240">
        <v>4000</v>
      </c>
      <c r="G64" s="240">
        <v>8000</v>
      </c>
      <c r="H64" s="241"/>
      <c r="I64" s="241"/>
      <c r="J64" s="5" t="s">
        <v>359</v>
      </c>
      <c r="K64" s="193" t="s">
        <v>360</v>
      </c>
      <c r="L64" s="213"/>
    </row>
    <row r="65" spans="1:12" x14ac:dyDescent="0.25">
      <c r="A65" s="422"/>
      <c r="B65" s="179" t="s">
        <v>361</v>
      </c>
      <c r="C65" s="235">
        <f>C47</f>
        <v>1.3439999999999999</v>
      </c>
      <c r="D65" s="235">
        <f t="shared" ref="D65:H65" si="22">D47</f>
        <v>0.34019999999999989</v>
      </c>
      <c r="E65" s="235">
        <f t="shared" si="22"/>
        <v>0.11925760000000002</v>
      </c>
      <c r="F65" s="235">
        <f t="shared" si="22"/>
        <v>2.4299999999999993</v>
      </c>
      <c r="G65" s="235">
        <f t="shared" si="22"/>
        <v>0.65688000000000002</v>
      </c>
      <c r="H65" s="235">
        <f t="shared" si="22"/>
        <v>0</v>
      </c>
      <c r="I65" s="235">
        <f>SUM(C65:H65)</f>
        <v>4.8903375999999996</v>
      </c>
      <c r="J65" s="179" t="s">
        <v>362</v>
      </c>
      <c r="K65" s="194" t="s">
        <v>310</v>
      </c>
      <c r="L65" s="202" t="s">
        <v>363</v>
      </c>
    </row>
    <row r="66" spans="1:12" ht="29.25" x14ac:dyDescent="0.25">
      <c r="A66" s="422"/>
      <c r="B66" s="179" t="s">
        <v>364</v>
      </c>
      <c r="C66" s="242">
        <f>C64*C65</f>
        <v>8063.9999999999991</v>
      </c>
      <c r="D66" s="242">
        <f t="shared" ref="D66:H66" si="23">D64*D65</f>
        <v>1360.7999999999995</v>
      </c>
      <c r="E66" s="242">
        <f t="shared" si="23"/>
        <v>954.0608000000002</v>
      </c>
      <c r="F66" s="242">
        <f t="shared" si="23"/>
        <v>9719.9999999999964</v>
      </c>
      <c r="G66" s="242">
        <f t="shared" si="23"/>
        <v>5255.04</v>
      </c>
      <c r="H66" s="242">
        <f t="shared" si="23"/>
        <v>0</v>
      </c>
      <c r="I66" s="242">
        <f>SUM(C66:H66)</f>
        <v>25353.900799999996</v>
      </c>
      <c r="J66" s="179" t="s">
        <v>365</v>
      </c>
      <c r="K66" s="194" t="s">
        <v>366</v>
      </c>
      <c r="L66" s="217" t="s">
        <v>367</v>
      </c>
    </row>
    <row r="67" spans="1:12" x14ac:dyDescent="0.25">
      <c r="A67" s="205"/>
      <c r="B67" s="205"/>
      <c r="C67" s="94"/>
      <c r="D67" s="95"/>
      <c r="E67" s="95"/>
      <c r="F67" s="95"/>
      <c r="G67" s="95"/>
      <c r="H67" s="7"/>
      <c r="I67" s="7"/>
      <c r="J67" s="183"/>
      <c r="K67" s="196"/>
      <c r="L67" s="214"/>
    </row>
    <row r="68" spans="1:12" ht="26.25" x14ac:dyDescent="0.25">
      <c r="A68" s="422" t="s">
        <v>33</v>
      </c>
      <c r="B68" s="82" t="s">
        <v>368</v>
      </c>
      <c r="C68" s="93"/>
      <c r="D68" s="79"/>
      <c r="E68" s="79"/>
      <c r="F68" s="79"/>
      <c r="G68" s="79"/>
      <c r="H68" s="79"/>
      <c r="I68" s="79"/>
      <c r="J68" s="181"/>
      <c r="K68" s="203"/>
      <c r="L68" s="215"/>
    </row>
    <row r="69" spans="1:12" ht="29.25" x14ac:dyDescent="0.25">
      <c r="A69" s="422"/>
      <c r="B69" s="179" t="s">
        <v>364</v>
      </c>
      <c r="C69" s="242">
        <f>C64*C65</f>
        <v>8063.9999999999991</v>
      </c>
      <c r="D69" s="242">
        <f t="shared" ref="D69:H69" si="24">D64*D65</f>
        <v>1360.7999999999995</v>
      </c>
      <c r="E69" s="242">
        <f t="shared" si="24"/>
        <v>954.0608000000002</v>
      </c>
      <c r="F69" s="242">
        <f t="shared" si="24"/>
        <v>9719.9999999999964</v>
      </c>
      <c r="G69" s="242">
        <f t="shared" si="24"/>
        <v>5255.04</v>
      </c>
      <c r="H69" s="242">
        <f t="shared" si="24"/>
        <v>0</v>
      </c>
      <c r="I69" s="242">
        <f>SUM(C69:H69)</f>
        <v>25353.900799999996</v>
      </c>
      <c r="J69" s="179" t="s">
        <v>365</v>
      </c>
      <c r="K69" s="194" t="s">
        <v>366</v>
      </c>
      <c r="L69" s="217" t="s">
        <v>367</v>
      </c>
    </row>
    <row r="70" spans="1:12" ht="43.5" x14ac:dyDescent="0.25">
      <c r="A70" s="422"/>
      <c r="B70" s="5" t="s">
        <v>369</v>
      </c>
      <c r="C70" s="243">
        <v>50</v>
      </c>
      <c r="D70" s="244">
        <v>40</v>
      </c>
      <c r="E70" s="244">
        <v>40</v>
      </c>
      <c r="F70" s="244">
        <v>40</v>
      </c>
      <c r="G70" s="244">
        <v>50</v>
      </c>
      <c r="H70" s="240"/>
      <c r="I70" s="240"/>
      <c r="J70" s="5" t="s">
        <v>370</v>
      </c>
      <c r="K70" s="201" t="s">
        <v>371</v>
      </c>
      <c r="L70" s="218"/>
    </row>
    <row r="71" spans="1:12" ht="29.25" x14ac:dyDescent="0.25">
      <c r="A71" s="422"/>
      <c r="B71" s="5" t="s">
        <v>372</v>
      </c>
      <c r="C71" s="84">
        <v>45</v>
      </c>
      <c r="D71" s="84">
        <v>45</v>
      </c>
      <c r="E71" s="84">
        <v>45</v>
      </c>
      <c r="F71" s="84">
        <v>45</v>
      </c>
      <c r="G71" s="84">
        <v>45</v>
      </c>
      <c r="H71" s="78"/>
      <c r="I71" s="78"/>
      <c r="J71" s="5" t="s">
        <v>373</v>
      </c>
      <c r="K71" s="193" t="s">
        <v>374</v>
      </c>
      <c r="L71" s="213"/>
    </row>
    <row r="72" spans="1:12" x14ac:dyDescent="0.25">
      <c r="A72" s="422"/>
      <c r="B72" s="211" t="s">
        <v>375</v>
      </c>
      <c r="C72" s="85">
        <f>(C69/C70)*C71</f>
        <v>7257.5999999999985</v>
      </c>
      <c r="D72" s="85">
        <f t="shared" ref="D72:G72" si="25">(D69/D70)*D71</f>
        <v>1530.8999999999994</v>
      </c>
      <c r="E72" s="85">
        <f t="shared" si="25"/>
        <v>1073.3184000000001</v>
      </c>
      <c r="F72" s="85">
        <f t="shared" si="25"/>
        <v>10934.999999999996</v>
      </c>
      <c r="G72" s="85">
        <f t="shared" si="25"/>
        <v>4729.5360000000001</v>
      </c>
      <c r="H72" s="85">
        <f>IF(H70,H69/H70,0)*H71</f>
        <v>0</v>
      </c>
      <c r="I72" s="85">
        <f>SUM(C72:H72)</f>
        <v>25526.354399999997</v>
      </c>
      <c r="J72" s="179" t="s">
        <v>376</v>
      </c>
      <c r="K72" s="194" t="s">
        <v>377</v>
      </c>
      <c r="L72" s="202" t="s">
        <v>378</v>
      </c>
    </row>
    <row r="73" spans="1:12" ht="29.25" x14ac:dyDescent="0.25">
      <c r="A73" s="422"/>
      <c r="B73" s="5" t="s">
        <v>379</v>
      </c>
      <c r="C73" s="89">
        <v>0.4</v>
      </c>
      <c r="D73" s="89">
        <v>0.4</v>
      </c>
      <c r="E73" s="89">
        <v>0.4</v>
      </c>
      <c r="F73" s="89">
        <v>0.4</v>
      </c>
      <c r="G73" s="89">
        <v>0.4</v>
      </c>
      <c r="H73" s="236"/>
      <c r="I73" s="236"/>
      <c r="J73" s="5" t="s">
        <v>380</v>
      </c>
      <c r="K73" s="193" t="s">
        <v>381</v>
      </c>
      <c r="L73" s="213"/>
    </row>
    <row r="74" spans="1:12" ht="43.5" x14ac:dyDescent="0.25">
      <c r="A74" s="422"/>
      <c r="B74" s="179" t="s">
        <v>382</v>
      </c>
      <c r="C74" s="87">
        <f>C69*C73</f>
        <v>3225.6</v>
      </c>
      <c r="D74" s="87">
        <f t="shared" ref="D74:H74" si="26">D69*D73</f>
        <v>544.31999999999982</v>
      </c>
      <c r="E74" s="87">
        <f t="shared" si="26"/>
        <v>381.62432000000013</v>
      </c>
      <c r="F74" s="87">
        <f t="shared" si="26"/>
        <v>3887.9999999999986</v>
      </c>
      <c r="G74" s="87">
        <f t="shared" si="26"/>
        <v>2102.0160000000001</v>
      </c>
      <c r="H74" s="87">
        <f t="shared" si="26"/>
        <v>0</v>
      </c>
      <c r="I74" s="87">
        <f>SUM(C74:H74)</f>
        <v>10141.560319999999</v>
      </c>
      <c r="J74" s="179" t="s">
        <v>383</v>
      </c>
      <c r="K74" s="194" t="s">
        <v>384</v>
      </c>
      <c r="L74" s="202" t="s">
        <v>385</v>
      </c>
    </row>
    <row r="75" spans="1:12" ht="53.1" customHeight="1" x14ac:dyDescent="0.25">
      <c r="A75" s="422"/>
      <c r="B75" s="4" t="s">
        <v>386</v>
      </c>
      <c r="C75" s="88">
        <f>C74*0.9</f>
        <v>2903.04</v>
      </c>
      <c r="D75" s="88">
        <f t="shared" ref="D75:I75" si="27">D74*0.9</f>
        <v>489.88799999999986</v>
      </c>
      <c r="E75" s="88">
        <f t="shared" si="27"/>
        <v>343.4618880000001</v>
      </c>
      <c r="F75" s="88">
        <f t="shared" si="27"/>
        <v>3499.1999999999989</v>
      </c>
      <c r="G75" s="88">
        <f t="shared" si="27"/>
        <v>1891.8144000000002</v>
      </c>
      <c r="H75" s="88">
        <f t="shared" si="27"/>
        <v>0</v>
      </c>
      <c r="I75" s="88">
        <f t="shared" si="27"/>
        <v>9127.4042879999997</v>
      </c>
      <c r="J75" s="5" t="s">
        <v>387</v>
      </c>
      <c r="K75" s="201" t="s">
        <v>388</v>
      </c>
      <c r="L75" s="219"/>
    </row>
    <row r="76" spans="1:12" ht="29.25" x14ac:dyDescent="0.25">
      <c r="A76" s="422"/>
      <c r="B76" s="5" t="s">
        <v>171</v>
      </c>
      <c r="C76" s="243">
        <v>45</v>
      </c>
      <c r="D76" s="244">
        <v>36</v>
      </c>
      <c r="E76" s="244">
        <v>36</v>
      </c>
      <c r="F76" s="244">
        <v>36</v>
      </c>
      <c r="G76" s="244">
        <v>45</v>
      </c>
      <c r="H76" s="240"/>
      <c r="I76" s="240"/>
      <c r="J76" s="5" t="s">
        <v>389</v>
      </c>
      <c r="K76" s="193" t="s">
        <v>390</v>
      </c>
      <c r="L76" s="213"/>
    </row>
    <row r="77" spans="1:12" ht="29.25" x14ac:dyDescent="0.25">
      <c r="A77" s="422"/>
      <c r="B77" s="5" t="s">
        <v>391</v>
      </c>
      <c r="C77" s="84">
        <v>300</v>
      </c>
      <c r="D77" s="84">
        <v>300</v>
      </c>
      <c r="E77" s="84">
        <v>300</v>
      </c>
      <c r="F77" s="84">
        <v>300</v>
      </c>
      <c r="G77" s="84">
        <v>300</v>
      </c>
      <c r="H77" s="78"/>
      <c r="I77" s="78"/>
      <c r="J77" s="5" t="s">
        <v>392</v>
      </c>
      <c r="K77" s="201" t="s">
        <v>393</v>
      </c>
      <c r="L77" s="219"/>
    </row>
    <row r="78" spans="1:12" x14ac:dyDescent="0.25">
      <c r="A78" s="422"/>
      <c r="B78" s="206" t="s">
        <v>394</v>
      </c>
      <c r="C78" s="85">
        <f>(C75/C76)*C77</f>
        <v>19353.599999999999</v>
      </c>
      <c r="D78" s="85">
        <f t="shared" ref="D78:G78" si="28">(D75/D76)*D77</f>
        <v>4082.3999999999992</v>
      </c>
      <c r="E78" s="85">
        <f t="shared" si="28"/>
        <v>2862.1824000000006</v>
      </c>
      <c r="F78" s="85">
        <f t="shared" si="28"/>
        <v>29159.999999999993</v>
      </c>
      <c r="G78" s="85">
        <f t="shared" si="28"/>
        <v>12612.096</v>
      </c>
      <c r="H78" s="85">
        <f>IF(H76,H75/H76,0)*H77</f>
        <v>0</v>
      </c>
      <c r="I78" s="85">
        <f>SUM(C78:H78)</f>
        <v>68070.278399999996</v>
      </c>
      <c r="J78" s="179" t="s">
        <v>395</v>
      </c>
      <c r="K78" s="194" t="s">
        <v>396</v>
      </c>
      <c r="L78" s="202" t="s">
        <v>397</v>
      </c>
    </row>
    <row r="79" spans="1:12" ht="29.25" x14ac:dyDescent="0.25">
      <c r="A79" s="422"/>
      <c r="B79" s="256" t="s">
        <v>398</v>
      </c>
      <c r="C79" s="89">
        <v>0.9</v>
      </c>
      <c r="D79" s="89">
        <v>0.9</v>
      </c>
      <c r="E79" s="89">
        <v>0.9</v>
      </c>
      <c r="F79" s="89">
        <v>0.9</v>
      </c>
      <c r="G79" s="89">
        <v>0.9</v>
      </c>
      <c r="H79" s="236"/>
      <c r="I79" s="236"/>
      <c r="J79" s="5" t="s">
        <v>399</v>
      </c>
      <c r="K79" s="193" t="s">
        <v>400</v>
      </c>
      <c r="L79" s="220"/>
    </row>
    <row r="80" spans="1:12" ht="43.5" x14ac:dyDescent="0.25">
      <c r="A80" s="422"/>
      <c r="B80" s="4" t="s">
        <v>401</v>
      </c>
      <c r="C80" s="87">
        <f>(C74*C79)</f>
        <v>2903.04</v>
      </c>
      <c r="D80" s="87">
        <f t="shared" ref="D80:G80" si="29">(D74*D79)</f>
        <v>489.88799999999986</v>
      </c>
      <c r="E80" s="87">
        <f t="shared" si="29"/>
        <v>343.4618880000001</v>
      </c>
      <c r="F80" s="87">
        <f t="shared" si="29"/>
        <v>3499.1999999999989</v>
      </c>
      <c r="G80" s="87">
        <f t="shared" si="29"/>
        <v>1891.8144000000002</v>
      </c>
      <c r="H80" s="87">
        <f>(H74*H79)</f>
        <v>0</v>
      </c>
      <c r="I80" s="87">
        <f>SUM(C80:H80)</f>
        <v>9127.4042879999979</v>
      </c>
      <c r="J80" s="179" t="s">
        <v>402</v>
      </c>
      <c r="K80" s="194" t="s">
        <v>403</v>
      </c>
      <c r="L80" s="202" t="s">
        <v>404</v>
      </c>
    </row>
    <row r="81" spans="1:12" ht="35.85" customHeight="1" x14ac:dyDescent="0.25">
      <c r="A81" s="422"/>
      <c r="B81" s="5" t="s">
        <v>405</v>
      </c>
      <c r="C81" s="89">
        <v>0.1</v>
      </c>
      <c r="D81" s="89">
        <v>0.1</v>
      </c>
      <c r="E81" s="89">
        <v>0.1</v>
      </c>
      <c r="F81" s="89">
        <v>0.1</v>
      </c>
      <c r="G81" s="89">
        <v>0.1</v>
      </c>
      <c r="H81" s="236"/>
      <c r="I81" s="236"/>
      <c r="J81" s="5" t="s">
        <v>406</v>
      </c>
      <c r="K81" s="193" t="s">
        <v>407</v>
      </c>
      <c r="L81" s="213"/>
    </row>
    <row r="82" spans="1:12" ht="29.25" x14ac:dyDescent="0.25">
      <c r="A82" s="422"/>
      <c r="B82" s="179" t="s">
        <v>408</v>
      </c>
      <c r="C82" s="87">
        <f>C80*C81</f>
        <v>290.30400000000003</v>
      </c>
      <c r="D82" s="87">
        <f t="shared" ref="D82:H82" si="30">D80*D81</f>
        <v>48.988799999999991</v>
      </c>
      <c r="E82" s="87">
        <f t="shared" si="30"/>
        <v>34.346188800000014</v>
      </c>
      <c r="F82" s="87">
        <f t="shared" si="30"/>
        <v>349.9199999999999</v>
      </c>
      <c r="G82" s="87">
        <f t="shared" si="30"/>
        <v>189.18144000000004</v>
      </c>
      <c r="H82" s="87">
        <f t="shared" si="30"/>
        <v>0</v>
      </c>
      <c r="I82" s="87">
        <f>SUM(C82:H82)</f>
        <v>912.74042880000002</v>
      </c>
      <c r="J82" s="179" t="s">
        <v>409</v>
      </c>
      <c r="K82" s="194" t="s">
        <v>410</v>
      </c>
      <c r="L82" s="202" t="s">
        <v>411</v>
      </c>
    </row>
    <row r="83" spans="1:12" ht="29.25" x14ac:dyDescent="0.25">
      <c r="A83" s="422"/>
      <c r="B83" s="5" t="s">
        <v>412</v>
      </c>
      <c r="C83" s="243">
        <v>40</v>
      </c>
      <c r="D83" s="243">
        <v>40</v>
      </c>
      <c r="E83" s="243">
        <v>40</v>
      </c>
      <c r="F83" s="243">
        <v>40</v>
      </c>
      <c r="G83" s="243">
        <v>40</v>
      </c>
      <c r="H83" s="240"/>
      <c r="I83" s="240"/>
      <c r="J83" s="5" t="s">
        <v>389</v>
      </c>
      <c r="K83" s="193" t="s">
        <v>413</v>
      </c>
      <c r="L83" s="213"/>
    </row>
    <row r="84" spans="1:12" ht="29.25" x14ac:dyDescent="0.25">
      <c r="A84" s="422"/>
      <c r="B84" s="5" t="s">
        <v>414</v>
      </c>
      <c r="C84" s="84">
        <v>300</v>
      </c>
      <c r="D84" s="84">
        <v>300</v>
      </c>
      <c r="E84" s="84">
        <v>300</v>
      </c>
      <c r="F84" s="84">
        <v>300</v>
      </c>
      <c r="G84" s="84">
        <v>300</v>
      </c>
      <c r="H84" s="78"/>
      <c r="I84" s="78"/>
      <c r="J84" s="5" t="s">
        <v>392</v>
      </c>
      <c r="K84" s="193" t="s">
        <v>415</v>
      </c>
      <c r="L84" s="213"/>
    </row>
    <row r="85" spans="1:12" ht="45" x14ac:dyDescent="0.25">
      <c r="A85" s="422"/>
      <c r="B85" s="206" t="s">
        <v>416</v>
      </c>
      <c r="C85" s="85">
        <f>(C82/C83)*C84</f>
        <v>2177.2800000000002</v>
      </c>
      <c r="D85" s="85">
        <f t="shared" ref="D85:G85" si="31">(D82/D83)*D84</f>
        <v>367.41599999999994</v>
      </c>
      <c r="E85" s="85">
        <f t="shared" si="31"/>
        <v>257.59641600000009</v>
      </c>
      <c r="F85" s="85">
        <f t="shared" si="31"/>
        <v>2624.3999999999992</v>
      </c>
      <c r="G85" s="85">
        <f t="shared" si="31"/>
        <v>1418.8608000000004</v>
      </c>
      <c r="H85" s="85">
        <f>IF(H83,H82/H83,0)*H84</f>
        <v>0</v>
      </c>
      <c r="I85" s="85">
        <f>SUM(C85:H85)</f>
        <v>6845.5532160000002</v>
      </c>
      <c r="J85" s="179" t="s">
        <v>417</v>
      </c>
      <c r="K85" s="195" t="s">
        <v>418</v>
      </c>
      <c r="L85" s="202" t="s">
        <v>419</v>
      </c>
    </row>
    <row r="86" spans="1:12" ht="29.25" x14ac:dyDescent="0.25">
      <c r="A86" s="422"/>
      <c r="B86" s="5" t="s">
        <v>179</v>
      </c>
      <c r="C86" s="89">
        <v>0.03</v>
      </c>
      <c r="D86" s="89">
        <v>0.03</v>
      </c>
      <c r="E86" s="89">
        <v>0.03</v>
      </c>
      <c r="F86" s="89">
        <v>0.03</v>
      </c>
      <c r="G86" s="89">
        <v>0.03</v>
      </c>
      <c r="H86" s="236"/>
      <c r="I86" s="236"/>
      <c r="J86" s="5" t="s">
        <v>420</v>
      </c>
      <c r="K86" s="193" t="s">
        <v>421</v>
      </c>
      <c r="L86" s="213"/>
    </row>
    <row r="87" spans="1:12" ht="29.25" x14ac:dyDescent="0.25">
      <c r="A87" s="422"/>
      <c r="B87" s="179" t="s">
        <v>422</v>
      </c>
      <c r="C87" s="87">
        <f>C82*C86</f>
        <v>8.7091200000000004</v>
      </c>
      <c r="D87" s="87">
        <f t="shared" ref="D87:H87" si="32">D82*D86</f>
        <v>1.4696639999999996</v>
      </c>
      <c r="E87" s="87">
        <f t="shared" si="32"/>
        <v>1.0303856640000004</v>
      </c>
      <c r="F87" s="87">
        <f t="shared" si="32"/>
        <v>10.497599999999997</v>
      </c>
      <c r="G87" s="87">
        <f t="shared" si="32"/>
        <v>5.675443200000001</v>
      </c>
      <c r="H87" s="87">
        <f t="shared" si="32"/>
        <v>0</v>
      </c>
      <c r="I87" s="87"/>
      <c r="J87" s="179" t="s">
        <v>423</v>
      </c>
      <c r="K87" s="194" t="s">
        <v>424</v>
      </c>
      <c r="L87" s="202" t="s">
        <v>425</v>
      </c>
    </row>
    <row r="88" spans="1:12" ht="29.25" x14ac:dyDescent="0.25">
      <c r="A88" s="422"/>
      <c r="B88" s="5" t="s">
        <v>182</v>
      </c>
      <c r="C88" s="243">
        <v>40</v>
      </c>
      <c r="D88" s="243">
        <v>40</v>
      </c>
      <c r="E88" s="243">
        <v>40</v>
      </c>
      <c r="F88" s="243">
        <v>40</v>
      </c>
      <c r="G88" s="243">
        <v>40</v>
      </c>
      <c r="H88" s="240"/>
      <c r="I88" s="240"/>
      <c r="J88" s="5" t="s">
        <v>389</v>
      </c>
      <c r="K88" s="193" t="s">
        <v>426</v>
      </c>
      <c r="L88" s="213"/>
    </row>
    <row r="89" spans="1:12" ht="29.25" x14ac:dyDescent="0.25">
      <c r="A89" s="422"/>
      <c r="B89" s="5" t="s">
        <v>427</v>
      </c>
      <c r="C89" s="84">
        <v>300</v>
      </c>
      <c r="D89" s="84">
        <v>300</v>
      </c>
      <c r="E89" s="84">
        <v>300</v>
      </c>
      <c r="F89" s="84">
        <v>300</v>
      </c>
      <c r="G89" s="84">
        <v>300</v>
      </c>
      <c r="H89" s="78"/>
      <c r="I89" s="78"/>
      <c r="J89" s="5" t="s">
        <v>392</v>
      </c>
      <c r="K89" s="193" t="s">
        <v>428</v>
      </c>
      <c r="L89" s="213"/>
    </row>
    <row r="90" spans="1:12" ht="26.25" x14ac:dyDescent="0.25">
      <c r="A90" s="423"/>
      <c r="B90" s="206" t="s">
        <v>429</v>
      </c>
      <c r="C90" s="85">
        <f>(C87/C88)*C89</f>
        <v>65.318399999999997</v>
      </c>
      <c r="D90" s="85">
        <f t="shared" ref="D90:G90" si="33">(D87/D88)*D89</f>
        <v>11.022479999999998</v>
      </c>
      <c r="E90" s="85">
        <f t="shared" si="33"/>
        <v>7.7278924800000031</v>
      </c>
      <c r="F90" s="85">
        <f t="shared" si="33"/>
        <v>78.731999999999971</v>
      </c>
      <c r="G90" s="85">
        <f t="shared" si="33"/>
        <v>42.565824000000006</v>
      </c>
      <c r="H90" s="85">
        <f>IF(H88,H87/H88,0)*H89</f>
        <v>0</v>
      </c>
      <c r="I90" s="85">
        <f>SUM(C90:H90)</f>
        <v>205.36659648</v>
      </c>
      <c r="J90" s="179" t="s">
        <v>430</v>
      </c>
      <c r="K90" s="194" t="s">
        <v>431</v>
      </c>
      <c r="L90" s="202" t="s">
        <v>432</v>
      </c>
    </row>
    <row r="91" spans="1:12" ht="26.25" x14ac:dyDescent="0.25">
      <c r="A91" s="357"/>
      <c r="B91" s="179" t="s">
        <v>77</v>
      </c>
      <c r="C91" s="85">
        <f t="shared" ref="C91:H91" si="34">C90+C85+C78+C72</f>
        <v>28853.798399999996</v>
      </c>
      <c r="D91" s="85">
        <f t="shared" si="34"/>
        <v>5991.7384799999991</v>
      </c>
      <c r="E91" s="85">
        <f t="shared" si="34"/>
        <v>4200.8251084800013</v>
      </c>
      <c r="F91" s="85">
        <f t="shared" si="34"/>
        <v>42798.131999999983</v>
      </c>
      <c r="G91" s="85">
        <f t="shared" si="34"/>
        <v>18803.058623999998</v>
      </c>
      <c r="H91" s="85">
        <f t="shared" si="34"/>
        <v>0</v>
      </c>
      <c r="I91" s="85">
        <f>SUM(C91:H91)</f>
        <v>100647.55261247998</v>
      </c>
      <c r="J91" s="179" t="s">
        <v>433</v>
      </c>
      <c r="K91" s="195" t="s">
        <v>434</v>
      </c>
      <c r="L91" s="202" t="s">
        <v>435</v>
      </c>
    </row>
    <row r="92" spans="1:12" x14ac:dyDescent="0.25">
      <c r="A92" s="205"/>
      <c r="B92" s="212"/>
      <c r="C92" s="166"/>
      <c r="D92" s="7"/>
      <c r="E92" s="7"/>
      <c r="F92" s="7"/>
      <c r="G92" s="7"/>
      <c r="H92" s="7"/>
      <c r="I92" s="7"/>
      <c r="J92" s="184"/>
      <c r="K92" s="192"/>
      <c r="L92" s="221"/>
    </row>
    <row r="93" spans="1:12" ht="26.25" x14ac:dyDescent="0.25">
      <c r="A93" s="422" t="s">
        <v>34</v>
      </c>
      <c r="B93" s="82" t="s">
        <v>436</v>
      </c>
      <c r="C93" s="93"/>
      <c r="D93" s="79"/>
      <c r="E93" s="79"/>
      <c r="F93" s="79"/>
      <c r="G93" s="79"/>
      <c r="H93" s="79"/>
      <c r="I93" s="79"/>
      <c r="J93" s="181"/>
      <c r="K93" s="200"/>
      <c r="L93" s="204"/>
    </row>
    <row r="94" spans="1:12" ht="29.25" x14ac:dyDescent="0.25">
      <c r="A94" s="422"/>
      <c r="B94" s="5" t="s">
        <v>437</v>
      </c>
      <c r="C94" s="303">
        <f t="shared" ref="C94:H94" si="35">(C80-C82)+C87</f>
        <v>2621.4451199999999</v>
      </c>
      <c r="D94" s="303">
        <f t="shared" si="35"/>
        <v>442.36886399999992</v>
      </c>
      <c r="E94" s="303">
        <f t="shared" si="35"/>
        <v>310.1460848640001</v>
      </c>
      <c r="F94" s="303">
        <f t="shared" si="35"/>
        <v>3159.777599999999</v>
      </c>
      <c r="G94" s="303">
        <f t="shared" si="35"/>
        <v>1708.3084032000002</v>
      </c>
      <c r="H94" s="303">
        <f t="shared" si="35"/>
        <v>0</v>
      </c>
      <c r="I94" s="304">
        <f>SUM(C94:H94)</f>
        <v>8242.0460720639985</v>
      </c>
      <c r="J94" s="179" t="s">
        <v>438</v>
      </c>
      <c r="K94" s="199" t="s">
        <v>439</v>
      </c>
      <c r="L94" s="213" t="s">
        <v>440</v>
      </c>
    </row>
    <row r="95" spans="1:12" x14ac:dyDescent="0.25">
      <c r="A95" s="422"/>
      <c r="B95" s="179" t="s">
        <v>441</v>
      </c>
      <c r="C95" s="235">
        <f>C94/C64</f>
        <v>0.43690751999999999</v>
      </c>
      <c r="D95" s="235">
        <f>D94/D64</f>
        <v>0.11059221599999998</v>
      </c>
      <c r="E95" s="235">
        <f>E94/E64</f>
        <v>3.876826060800001E-2</v>
      </c>
      <c r="F95" s="235">
        <f>F94/F64</f>
        <v>0.78994439999999977</v>
      </c>
      <c r="G95" s="235">
        <f>G94/G64</f>
        <v>0.21353855040000003</v>
      </c>
      <c r="H95" s="235">
        <f>H65</f>
        <v>0</v>
      </c>
      <c r="I95" s="235">
        <f>SUM(C95:H95)</f>
        <v>1.5897509470079998</v>
      </c>
      <c r="J95" s="179" t="s">
        <v>442</v>
      </c>
      <c r="K95" s="194" t="s">
        <v>443</v>
      </c>
      <c r="L95" s="202" t="s">
        <v>444</v>
      </c>
    </row>
    <row r="96" spans="1:12" x14ac:dyDescent="0.25">
      <c r="A96" s="422"/>
      <c r="B96" s="4" t="s">
        <v>445</v>
      </c>
      <c r="C96" s="84">
        <v>192</v>
      </c>
      <c r="D96" s="84">
        <v>192</v>
      </c>
      <c r="E96" s="84">
        <v>192</v>
      </c>
      <c r="F96" s="84">
        <v>192</v>
      </c>
      <c r="G96" s="84">
        <v>192</v>
      </c>
      <c r="H96" s="78"/>
      <c r="I96" s="78"/>
      <c r="J96" s="5" t="s">
        <v>446</v>
      </c>
      <c r="K96" s="193" t="s">
        <v>447</v>
      </c>
      <c r="L96" s="213"/>
    </row>
    <row r="97" spans="1:12" ht="29.25" x14ac:dyDescent="0.25">
      <c r="A97" s="422"/>
      <c r="B97" s="206" t="s">
        <v>448</v>
      </c>
      <c r="C97" s="85">
        <f>C96*C95</f>
        <v>83.886243839999992</v>
      </c>
      <c r="D97" s="85">
        <f t="shared" ref="D97:H97" si="36">D96*D95</f>
        <v>21.233705471999997</v>
      </c>
      <c r="E97" s="85">
        <f t="shared" si="36"/>
        <v>7.443506036736002</v>
      </c>
      <c r="F97" s="85">
        <f t="shared" si="36"/>
        <v>151.66932479999997</v>
      </c>
      <c r="G97" s="85">
        <f t="shared" si="36"/>
        <v>40.999401676800005</v>
      </c>
      <c r="H97" s="85">
        <f t="shared" si="36"/>
        <v>0</v>
      </c>
      <c r="I97" s="85">
        <f>SUM(C97:H97)</f>
        <v>305.23218182553597</v>
      </c>
      <c r="J97" s="179" t="s">
        <v>449</v>
      </c>
      <c r="K97" s="194" t="s">
        <v>450</v>
      </c>
      <c r="L97" s="202" t="s">
        <v>451</v>
      </c>
    </row>
    <row r="98" spans="1:12" x14ac:dyDescent="0.25">
      <c r="A98" s="422"/>
      <c r="B98" s="5" t="s">
        <v>452</v>
      </c>
      <c r="C98" s="229">
        <v>1</v>
      </c>
      <c r="D98" s="229">
        <v>1</v>
      </c>
      <c r="E98" s="229">
        <v>1</v>
      </c>
      <c r="F98" s="229">
        <v>1</v>
      </c>
      <c r="G98" s="229">
        <v>1</v>
      </c>
      <c r="H98" s="230"/>
      <c r="I98" s="230">
        <f>SUM(C98:H98)</f>
        <v>5</v>
      </c>
      <c r="J98" s="5" t="s">
        <v>453</v>
      </c>
      <c r="K98" s="193" t="s">
        <v>454</v>
      </c>
      <c r="L98" s="213"/>
    </row>
    <row r="99" spans="1:12" x14ac:dyDescent="0.25">
      <c r="A99" s="422"/>
      <c r="B99" s="5" t="s">
        <v>455</v>
      </c>
      <c r="C99" s="84">
        <v>150</v>
      </c>
      <c r="D99" s="84">
        <v>150</v>
      </c>
      <c r="E99" s="84">
        <v>150</v>
      </c>
      <c r="F99" s="84">
        <v>150</v>
      </c>
      <c r="G99" s="84">
        <v>150</v>
      </c>
      <c r="H99" s="78"/>
      <c r="I99" s="78"/>
      <c r="J99" s="5" t="s">
        <v>456</v>
      </c>
      <c r="K99" s="193" t="s">
        <v>457</v>
      </c>
      <c r="L99" s="213"/>
    </row>
    <row r="100" spans="1:12" x14ac:dyDescent="0.25">
      <c r="A100" s="423"/>
      <c r="B100" s="206" t="s">
        <v>458</v>
      </c>
      <c r="C100" s="85">
        <f>C99*C98</f>
        <v>150</v>
      </c>
      <c r="D100" s="85">
        <f t="shared" ref="D100:H100" si="37">D99*D98</f>
        <v>150</v>
      </c>
      <c r="E100" s="85">
        <f t="shared" si="37"/>
        <v>150</v>
      </c>
      <c r="F100" s="85">
        <f t="shared" si="37"/>
        <v>150</v>
      </c>
      <c r="G100" s="85">
        <f t="shared" si="37"/>
        <v>150</v>
      </c>
      <c r="H100" s="85">
        <f t="shared" si="37"/>
        <v>0</v>
      </c>
      <c r="I100" s="85"/>
      <c r="J100" s="179" t="s">
        <v>459</v>
      </c>
      <c r="K100" s="194" t="s">
        <v>460</v>
      </c>
      <c r="L100" s="202" t="s">
        <v>461</v>
      </c>
    </row>
    <row r="101" spans="1:12" x14ac:dyDescent="0.25">
      <c r="A101" s="357"/>
      <c r="B101" s="179" t="s">
        <v>80</v>
      </c>
      <c r="C101" s="85">
        <f>C100+C97</f>
        <v>233.88624383999999</v>
      </c>
      <c r="D101" s="85">
        <f t="shared" ref="D101:H101" si="38">D100+D97</f>
        <v>171.233705472</v>
      </c>
      <c r="E101" s="85">
        <f t="shared" si="38"/>
        <v>157.44350603673601</v>
      </c>
      <c r="F101" s="85">
        <f t="shared" si="38"/>
        <v>301.66932479999997</v>
      </c>
      <c r="G101" s="85">
        <f t="shared" si="38"/>
        <v>190.99940167680001</v>
      </c>
      <c r="H101" s="85">
        <f t="shared" si="38"/>
        <v>0</v>
      </c>
      <c r="I101" s="85">
        <f>SUM(C101:H101)</f>
        <v>1055.2321818255361</v>
      </c>
      <c r="J101" s="179" t="s">
        <v>462</v>
      </c>
      <c r="K101" s="194" t="s">
        <v>463</v>
      </c>
      <c r="L101" s="202" t="s">
        <v>464</v>
      </c>
    </row>
    <row r="102" spans="1:12" x14ac:dyDescent="0.25">
      <c r="A102" s="205"/>
      <c r="B102" s="183"/>
      <c r="C102" s="94"/>
      <c r="D102" s="95"/>
      <c r="E102" s="95"/>
      <c r="F102" s="95"/>
      <c r="G102" s="95"/>
      <c r="H102" s="95"/>
      <c r="I102" s="95"/>
      <c r="J102" s="183"/>
      <c r="K102" s="196"/>
      <c r="L102" s="214"/>
    </row>
    <row r="103" spans="1:12" ht="41.1" customHeight="1" x14ac:dyDescent="0.25">
      <c r="A103" s="424" t="s">
        <v>35</v>
      </c>
      <c r="B103" s="82" t="s">
        <v>465</v>
      </c>
      <c r="C103" s="93"/>
      <c r="D103" s="79"/>
      <c r="E103" s="79"/>
      <c r="F103" s="79"/>
      <c r="G103" s="79"/>
      <c r="H103" s="79"/>
      <c r="I103" s="79"/>
      <c r="J103" s="181"/>
      <c r="K103" s="200"/>
      <c r="L103" s="204"/>
    </row>
    <row r="104" spans="1:12" ht="29.25" x14ac:dyDescent="0.25">
      <c r="A104" s="425"/>
      <c r="B104" s="5" t="s">
        <v>466</v>
      </c>
      <c r="C104" s="289"/>
      <c r="D104" s="171"/>
      <c r="E104" s="171"/>
      <c r="F104" s="171"/>
      <c r="G104" s="171"/>
      <c r="H104" s="172"/>
      <c r="I104" s="272">
        <v>5</v>
      </c>
      <c r="J104" s="5" t="s">
        <v>467</v>
      </c>
      <c r="K104" s="199" t="s">
        <v>468</v>
      </c>
      <c r="L104" s="213"/>
    </row>
    <row r="105" spans="1:12" x14ac:dyDescent="0.25">
      <c r="A105" s="425"/>
      <c r="B105" s="5" t="s">
        <v>469</v>
      </c>
      <c r="C105" s="173"/>
      <c r="D105" s="173"/>
      <c r="E105" s="173"/>
      <c r="F105" s="173"/>
      <c r="G105" s="173"/>
      <c r="H105" s="174"/>
      <c r="I105" s="84">
        <v>125</v>
      </c>
      <c r="J105" s="76" t="s">
        <v>470</v>
      </c>
      <c r="K105" s="193" t="s">
        <v>471</v>
      </c>
      <c r="L105" s="213"/>
    </row>
    <row r="106" spans="1:12" x14ac:dyDescent="0.25">
      <c r="A106" s="425"/>
      <c r="B106" s="179" t="s">
        <v>472</v>
      </c>
      <c r="C106" s="173"/>
      <c r="D106" s="173"/>
      <c r="E106" s="173"/>
      <c r="F106" s="173"/>
      <c r="G106" s="173"/>
      <c r="H106" s="173"/>
      <c r="I106" s="85">
        <f>I104*I105</f>
        <v>625</v>
      </c>
      <c r="J106" s="179" t="s">
        <v>473</v>
      </c>
      <c r="K106" s="194" t="s">
        <v>474</v>
      </c>
      <c r="L106" s="217" t="s">
        <v>475</v>
      </c>
    </row>
    <row r="107" spans="1:12" ht="29.25" x14ac:dyDescent="0.25">
      <c r="A107" s="425"/>
      <c r="B107" s="5" t="s">
        <v>476</v>
      </c>
      <c r="C107" s="290"/>
      <c r="D107" s="174"/>
      <c r="E107" s="174"/>
      <c r="F107" s="174"/>
      <c r="G107" s="174"/>
      <c r="H107" s="174"/>
      <c r="I107" s="229">
        <v>10</v>
      </c>
      <c r="J107" s="5" t="s">
        <v>477</v>
      </c>
      <c r="K107" s="193" t="s">
        <v>478</v>
      </c>
      <c r="L107" s="220"/>
    </row>
    <row r="108" spans="1:12" ht="29.25" x14ac:dyDescent="0.25">
      <c r="A108" s="425"/>
      <c r="B108" s="5" t="s">
        <v>479</v>
      </c>
      <c r="C108" s="173"/>
      <c r="D108" s="175"/>
      <c r="E108" s="175"/>
      <c r="F108" s="175"/>
      <c r="G108" s="175"/>
      <c r="H108" s="175"/>
      <c r="I108" s="84">
        <v>180</v>
      </c>
      <c r="J108" s="5" t="s">
        <v>480</v>
      </c>
      <c r="K108" s="193" t="s">
        <v>481</v>
      </c>
      <c r="L108" s="213"/>
    </row>
    <row r="109" spans="1:12" ht="29.25" x14ac:dyDescent="0.25">
      <c r="A109" s="425"/>
      <c r="B109" s="179" t="s">
        <v>482</v>
      </c>
      <c r="C109" s="173"/>
      <c r="D109" s="173"/>
      <c r="E109" s="173"/>
      <c r="F109" s="173"/>
      <c r="G109" s="173"/>
      <c r="H109" s="173"/>
      <c r="I109" s="85">
        <f>I107*I108</f>
        <v>1800</v>
      </c>
      <c r="J109" s="179" t="s">
        <v>483</v>
      </c>
      <c r="K109" s="194" t="s">
        <v>484</v>
      </c>
      <c r="L109" s="202" t="s">
        <v>485</v>
      </c>
    </row>
    <row r="110" spans="1:12" ht="29.25" x14ac:dyDescent="0.25">
      <c r="A110" s="425"/>
      <c r="B110" s="5" t="s">
        <v>486</v>
      </c>
      <c r="C110" s="290"/>
      <c r="D110" s="174"/>
      <c r="E110" s="174"/>
      <c r="F110" s="174"/>
      <c r="G110" s="174"/>
      <c r="H110" s="174"/>
      <c r="I110" s="229">
        <v>5</v>
      </c>
      <c r="J110" s="5" t="s">
        <v>487</v>
      </c>
      <c r="K110" s="193" t="s">
        <v>488</v>
      </c>
      <c r="L110" s="220"/>
    </row>
    <row r="111" spans="1:12" ht="29.25" x14ac:dyDescent="0.25">
      <c r="A111" s="425"/>
      <c r="B111" s="5" t="s">
        <v>489</v>
      </c>
      <c r="C111" s="173"/>
      <c r="D111" s="175"/>
      <c r="E111" s="175"/>
      <c r="F111" s="175"/>
      <c r="G111" s="175"/>
      <c r="H111" s="175"/>
      <c r="I111" s="84">
        <v>300</v>
      </c>
      <c r="J111" s="5" t="s">
        <v>490</v>
      </c>
      <c r="K111" s="193" t="s">
        <v>491</v>
      </c>
      <c r="L111" s="213"/>
    </row>
    <row r="112" spans="1:12" x14ac:dyDescent="0.25">
      <c r="A112" s="425"/>
      <c r="B112" s="179" t="s">
        <v>492</v>
      </c>
      <c r="C112" s="173"/>
      <c r="D112" s="173"/>
      <c r="E112" s="173"/>
      <c r="F112" s="173"/>
      <c r="G112" s="173"/>
      <c r="H112" s="173"/>
      <c r="I112" s="85">
        <f>I110*I111</f>
        <v>1500</v>
      </c>
      <c r="J112" s="179" t="s">
        <v>493</v>
      </c>
      <c r="K112" s="195" t="s">
        <v>494</v>
      </c>
      <c r="L112" s="202" t="s">
        <v>495</v>
      </c>
    </row>
    <row r="113" spans="1:13" ht="43.5" x14ac:dyDescent="0.25">
      <c r="A113" s="425"/>
      <c r="B113" s="5" t="s">
        <v>496</v>
      </c>
      <c r="C113" s="291"/>
      <c r="D113" s="174"/>
      <c r="E113" s="175"/>
      <c r="F113" s="174"/>
      <c r="G113" s="174"/>
      <c r="H113" s="174"/>
      <c r="I113" s="89">
        <v>0.1</v>
      </c>
      <c r="J113" s="5" t="s">
        <v>497</v>
      </c>
      <c r="K113" s="193" t="s">
        <v>498</v>
      </c>
      <c r="L113" s="213"/>
    </row>
    <row r="114" spans="1:13" x14ac:dyDescent="0.25">
      <c r="A114" s="426"/>
      <c r="B114" s="179" t="s">
        <v>499</v>
      </c>
      <c r="C114" s="173"/>
      <c r="D114" s="173"/>
      <c r="E114" s="173"/>
      <c r="F114" s="173"/>
      <c r="G114" s="173"/>
      <c r="H114" s="173"/>
      <c r="I114" s="85">
        <f>I72*I113</f>
        <v>2552.63544</v>
      </c>
      <c r="J114" s="179" t="s">
        <v>500</v>
      </c>
      <c r="K114" s="194" t="s">
        <v>501</v>
      </c>
      <c r="L114" s="202" t="s">
        <v>502</v>
      </c>
    </row>
    <row r="115" spans="1:13" ht="29.25" x14ac:dyDescent="0.25">
      <c r="A115" s="358"/>
      <c r="B115" s="179" t="s">
        <v>503</v>
      </c>
      <c r="C115" s="173"/>
      <c r="D115" s="173"/>
      <c r="E115" s="173"/>
      <c r="F115" s="173"/>
      <c r="G115" s="173"/>
      <c r="H115" s="173"/>
      <c r="I115" s="85">
        <f>I106+I109+I112+I114</f>
        <v>6477.63544</v>
      </c>
      <c r="J115" s="179" t="s">
        <v>504</v>
      </c>
      <c r="K115" s="194" t="s">
        <v>505</v>
      </c>
      <c r="L115" s="202" t="s">
        <v>506</v>
      </c>
    </row>
    <row r="116" spans="1:13" ht="29.25" x14ac:dyDescent="0.25">
      <c r="A116" s="359"/>
      <c r="B116" s="179" t="s">
        <v>507</v>
      </c>
      <c r="C116" s="173"/>
      <c r="D116" s="173"/>
      <c r="E116" s="173"/>
      <c r="F116" s="173"/>
      <c r="G116" s="173"/>
      <c r="H116" s="173"/>
      <c r="I116" s="88">
        <v>5</v>
      </c>
      <c r="J116" s="179" t="s">
        <v>508</v>
      </c>
      <c r="K116" s="194" t="s">
        <v>509</v>
      </c>
      <c r="L116" s="202"/>
    </row>
    <row r="117" spans="1:13" ht="43.5" x14ac:dyDescent="0.25">
      <c r="A117" s="359"/>
      <c r="B117" s="179" t="s">
        <v>352</v>
      </c>
      <c r="C117" s="85">
        <f>I115/I116</f>
        <v>1295.527088</v>
      </c>
      <c r="D117" s="85">
        <f>I115/I116</f>
        <v>1295.527088</v>
      </c>
      <c r="E117" s="85">
        <f>I115/I116</f>
        <v>1295.527088</v>
      </c>
      <c r="F117" s="85">
        <f>I115/I116</f>
        <v>1295.527088</v>
      </c>
      <c r="G117" s="85">
        <f>I115/I116</f>
        <v>1295.527088</v>
      </c>
      <c r="H117" s="85"/>
      <c r="I117" s="294">
        <f>SUM(C117:H117)</f>
        <v>6477.63544</v>
      </c>
      <c r="J117" s="179" t="s">
        <v>510</v>
      </c>
      <c r="K117" s="194" t="s">
        <v>505</v>
      </c>
      <c r="L117" s="202" t="s">
        <v>511</v>
      </c>
    </row>
    <row r="118" spans="1:13" ht="15.75" x14ac:dyDescent="0.25">
      <c r="A118" s="360"/>
      <c r="B118" s="10"/>
      <c r="C118" s="94"/>
      <c r="D118" s="95"/>
      <c r="E118" s="95"/>
      <c r="F118" s="95"/>
      <c r="G118" s="95"/>
      <c r="H118" s="95"/>
      <c r="I118" s="95"/>
      <c r="J118" s="247"/>
      <c r="K118" s="6"/>
      <c r="L118" s="205"/>
    </row>
    <row r="119" spans="1:13" ht="45" x14ac:dyDescent="0.25">
      <c r="A119" s="361"/>
      <c r="B119" s="245" t="s">
        <v>512</v>
      </c>
      <c r="C119" s="246">
        <f t="shared" ref="C119:H119" si="39">SUM(C18,C32,C50,C61,C91,C101,C117)</f>
        <v>32847.083731839994</v>
      </c>
      <c r="D119" s="246">
        <f t="shared" si="39"/>
        <v>10430.948123471999</v>
      </c>
      <c r="E119" s="246">
        <f t="shared" si="39"/>
        <v>8420.1905313167372</v>
      </c>
      <c r="F119" s="246">
        <f t="shared" si="39"/>
        <v>47956.980912799983</v>
      </c>
      <c r="G119" s="246">
        <f t="shared" si="39"/>
        <v>22416.615053676796</v>
      </c>
      <c r="H119" s="246">
        <f t="shared" si="39"/>
        <v>0</v>
      </c>
      <c r="I119" s="295">
        <f>SUM(C119:H119)</f>
        <v>122071.81835310551</v>
      </c>
      <c r="J119" s="248"/>
      <c r="K119" s="249"/>
      <c r="L119" s="250" t="s">
        <v>513</v>
      </c>
    </row>
    <row r="120" spans="1:13" ht="18" x14ac:dyDescent="0.25">
      <c r="C120" s="176"/>
    </row>
    <row r="121" spans="1:13" ht="33" customHeight="1" x14ac:dyDescent="0.25">
      <c r="A121" s="380"/>
      <c r="B121" s="380"/>
      <c r="C121" s="380"/>
      <c r="D121" s="380"/>
      <c r="E121" s="380"/>
      <c r="F121" s="380"/>
      <c r="G121" s="380"/>
      <c r="H121" s="380"/>
      <c r="I121" s="380"/>
      <c r="J121" s="380"/>
      <c r="K121" s="380"/>
      <c r="L121" s="380"/>
      <c r="M121" s="343"/>
    </row>
    <row r="128" spans="1:13" x14ac:dyDescent="0.25">
      <c r="F128" s="9" t="s">
        <v>516</v>
      </c>
    </row>
  </sheetData>
  <mergeCells count="14">
    <mergeCell ref="A121:L121"/>
    <mergeCell ref="B1:L1"/>
    <mergeCell ref="J2:L4"/>
    <mergeCell ref="C2:I4"/>
    <mergeCell ref="B2:B4"/>
    <mergeCell ref="A93:A100"/>
    <mergeCell ref="A103:A114"/>
    <mergeCell ref="A2:A16"/>
    <mergeCell ref="A20:A23"/>
    <mergeCell ref="A26:A31"/>
    <mergeCell ref="A52:A59"/>
    <mergeCell ref="A34:A49"/>
    <mergeCell ref="A68:A90"/>
    <mergeCell ref="A63:A66"/>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6D44C5FB82634BAF351164E24B5115" ma:contentTypeVersion="10" ma:contentTypeDescription="Create a new document." ma:contentTypeScope="" ma:versionID="98a29bdbd98c3183a9757c783b3e57a2">
  <xsd:schema xmlns:xsd="http://www.w3.org/2001/XMLSchema" xmlns:xs="http://www.w3.org/2001/XMLSchema" xmlns:p="http://schemas.microsoft.com/office/2006/metadata/properties" xmlns:ns2="e95d0864-d29e-4b0c-a345-dda819893b32" targetNamespace="http://schemas.microsoft.com/office/2006/metadata/properties" ma:root="true" ma:fieldsID="341fce0383b506036ecfeecd89880739" ns2:_="">
    <xsd:import namespace="e95d0864-d29e-4b0c-a345-dda819893b3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d0864-d29e-4b0c-a345-dda819893b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06140D-72B3-4B67-B6A3-AA534B989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5d0864-d29e-4b0c-a345-dda819893b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F481A2-1B14-4457-8CB1-12426A75A384}">
  <ds:schemaRefs>
    <ds:schemaRef ds:uri="http://schemas.microsoft.com/sharepoint/v3/contenttype/forms"/>
  </ds:schemaRefs>
</ds:datastoreItem>
</file>

<file path=customXml/itemProps3.xml><?xml version="1.0" encoding="utf-8"?>
<ds:datastoreItem xmlns:ds="http://schemas.openxmlformats.org/officeDocument/2006/customXml" ds:itemID="{A97202AF-BABE-41A9-9B6E-C514097D4DD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Judicial Dashboard</vt:lpstr>
      <vt:lpstr>Judicial Detail View</vt:lpstr>
      <vt:lpstr>Attorney Detail View</vt:lpstr>
      <vt:lpstr>1 - Data Source Estimates</vt:lpstr>
      <vt:lpstr>2. Costs</vt:lpstr>
      <vt:lpstr>3. Assumptions</vt:lpstr>
      <vt:lpstr>4. 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obrien</dc:creator>
  <cp:keywords/>
  <dc:description/>
  <cp:lastModifiedBy>Cory Logan</cp:lastModifiedBy>
  <cp:revision/>
  <dcterms:created xsi:type="dcterms:W3CDTF">2021-02-03T18:16:30Z</dcterms:created>
  <dcterms:modified xsi:type="dcterms:W3CDTF">2024-03-12T14:32:19Z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0x010100F66D44C5FB82634BAF351164E24B5115</vt:lpwstr>
  </property>
</Properties>
</file>