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Proportionality\"/>
    </mc:Choice>
  </mc:AlternateContent>
  <xr:revisionPtr revIDLastSave="0" documentId="13_ncr:1_{E17699F9-A227-41AF-9A3A-7935AD5BDDA4}" xr6:coauthVersionLast="47" xr6:coauthVersionMax="47" xr10:uidLastSave="{00000000-0000-0000-0000-000000000000}"/>
  <bookViews>
    <workbookView xWindow="-120" yWindow="-120" windowWidth="29040" windowHeight="15840" firstSheet="2" activeTab="7" xr2:uid="{F8D51AF8-14D9-4A12-8502-7045644D379F}"/>
  </bookViews>
  <sheets>
    <sheet name="Instructions" sheetId="18" r:id="rId1"/>
    <sheet name="Judicial Dashboard" sheetId="20" r:id="rId2"/>
    <sheet name="Judicial Detail View" sheetId="16" r:id="rId3"/>
    <sheet name="Attorney Detail View" sheetId="15" r:id="rId4"/>
    <sheet name="2. Costs" sheetId="12" r:id="rId5"/>
    <sheet name="3. TAR Assumptions" sheetId="22" r:id="rId6"/>
    <sheet name="1 - Data Source Estimates" sheetId="14" r:id="rId7"/>
    <sheet name="4. TAR 1.0 Calculations" sheetId="21" r:id="rId8"/>
    <sheet name="4A. LINEAR REVIEW Calculations" sheetId="13" state="hidden"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5" i="15" l="1"/>
  <c r="E15" i="15"/>
  <c r="D15" i="15"/>
  <c r="C15" i="15"/>
  <c r="B15" i="15"/>
  <c r="F3" i="16"/>
  <c r="E3" i="16"/>
  <c r="C3" i="16"/>
  <c r="B3" i="16"/>
  <c r="D3" i="16"/>
  <c r="I83" i="21" l="1"/>
  <c r="I88" i="21" s="1"/>
  <c r="I107" i="21" l="1"/>
  <c r="I101" i="21"/>
  <c r="I143" i="21" l="1"/>
  <c r="I140" i="21"/>
  <c r="I137" i="21"/>
  <c r="H131" i="21"/>
  <c r="G131" i="21"/>
  <c r="F24" i="15" s="1"/>
  <c r="E131" i="21"/>
  <c r="D24" i="15" s="1"/>
  <c r="F131" i="21"/>
  <c r="E24" i="15" s="1"/>
  <c r="D131" i="21"/>
  <c r="C24" i="15" s="1"/>
  <c r="C131" i="21"/>
  <c r="B24" i="15" s="1"/>
  <c r="I129" i="21"/>
  <c r="H121" i="21"/>
  <c r="H116" i="21"/>
  <c r="H109" i="21"/>
  <c r="H103" i="21"/>
  <c r="I59" i="21"/>
  <c r="G60" i="21" s="1"/>
  <c r="H32" i="21"/>
  <c r="G32" i="21"/>
  <c r="E32" i="21"/>
  <c r="F32" i="21"/>
  <c r="D32" i="21"/>
  <c r="C32" i="21"/>
  <c r="I30" i="21"/>
  <c r="G29" i="21"/>
  <c r="G36" i="21" s="1"/>
  <c r="E29" i="21"/>
  <c r="E36" i="21" s="1"/>
  <c r="H23" i="21"/>
  <c r="H24" i="21" s="1"/>
  <c r="H27" i="21" s="1"/>
  <c r="H29" i="21" s="1"/>
  <c r="H36" i="21" s="1"/>
  <c r="G23" i="21"/>
  <c r="G24" i="21" s="1"/>
  <c r="F8" i="15" s="1"/>
  <c r="E23" i="21"/>
  <c r="E24" i="21" s="1"/>
  <c r="D8" i="15" s="1"/>
  <c r="F23" i="21"/>
  <c r="D23" i="21"/>
  <c r="C23" i="21"/>
  <c r="I22" i="21"/>
  <c r="I21" i="21"/>
  <c r="F20" i="21"/>
  <c r="D20" i="21"/>
  <c r="C20" i="21"/>
  <c r="H17" i="21"/>
  <c r="G17" i="21"/>
  <c r="E17" i="21"/>
  <c r="F17" i="21"/>
  <c r="D17" i="21"/>
  <c r="C17" i="21"/>
  <c r="H14" i="21"/>
  <c r="G14" i="21"/>
  <c r="E14" i="21"/>
  <c r="F14" i="21"/>
  <c r="D14" i="21"/>
  <c r="C14" i="21"/>
  <c r="H11" i="21"/>
  <c r="I10" i="21"/>
  <c r="G9" i="21"/>
  <c r="G11" i="21" s="1"/>
  <c r="F4" i="15" s="1"/>
  <c r="E9" i="21"/>
  <c r="E11" i="21" s="1"/>
  <c r="D4" i="15" s="1"/>
  <c r="F9" i="21"/>
  <c r="D9" i="21"/>
  <c r="D11" i="21" s="1"/>
  <c r="C4" i="15" s="1"/>
  <c r="C9" i="21"/>
  <c r="C11" i="21" s="1"/>
  <c r="B4" i="15" s="1"/>
  <c r="H8" i="21"/>
  <c r="G8" i="21"/>
  <c r="E8" i="21"/>
  <c r="F8" i="21"/>
  <c r="D8" i="21"/>
  <c r="C8" i="21"/>
  <c r="I6" i="21"/>
  <c r="H94" i="13"/>
  <c r="H80" i="13"/>
  <c r="C78" i="13"/>
  <c r="D78" i="13"/>
  <c r="E78" i="13"/>
  <c r="F78" i="13"/>
  <c r="G78" i="13"/>
  <c r="H78" i="13"/>
  <c r="I75" i="13"/>
  <c r="B9" i="15" l="1"/>
  <c r="B6" i="16"/>
  <c r="C9" i="15"/>
  <c r="C6" i="16"/>
  <c r="E9" i="15"/>
  <c r="E6" i="16"/>
  <c r="D9" i="15"/>
  <c r="D6" i="16"/>
  <c r="F9" i="15"/>
  <c r="F6" i="16"/>
  <c r="F24" i="21"/>
  <c r="H18" i="21"/>
  <c r="I20" i="21"/>
  <c r="I32" i="21"/>
  <c r="I9" i="21"/>
  <c r="C24" i="21"/>
  <c r="D24" i="21"/>
  <c r="I8" i="21"/>
  <c r="I14" i="21"/>
  <c r="I17" i="21"/>
  <c r="H122" i="21"/>
  <c r="G18" i="21"/>
  <c r="E18" i="21"/>
  <c r="E40" i="21"/>
  <c r="E42" i="21" s="1"/>
  <c r="E38" i="21"/>
  <c r="D10" i="15" s="1"/>
  <c r="H40" i="21"/>
  <c r="H42" i="21" s="1"/>
  <c r="H38" i="21"/>
  <c r="G38" i="21"/>
  <c r="F10" i="15" s="1"/>
  <c r="G40" i="21"/>
  <c r="G42" i="21" s="1"/>
  <c r="D18" i="21"/>
  <c r="I23" i="21"/>
  <c r="F11" i="21"/>
  <c r="C60" i="21"/>
  <c r="D60" i="21"/>
  <c r="F60" i="21"/>
  <c r="C18" i="21"/>
  <c r="E60" i="21"/>
  <c r="I78" i="13"/>
  <c r="I59" i="13"/>
  <c r="D60" i="13" s="1"/>
  <c r="I112" i="13"/>
  <c r="I109" i="13"/>
  <c r="I106" i="13"/>
  <c r="I98" i="13"/>
  <c r="I30" i="13"/>
  <c r="I22" i="13"/>
  <c r="I21" i="13"/>
  <c r="I10" i="13"/>
  <c r="G9" i="13"/>
  <c r="F9" i="13"/>
  <c r="E9" i="13"/>
  <c r="D9" i="13"/>
  <c r="I6" i="13"/>
  <c r="H5" i="14"/>
  <c r="R22" i="14"/>
  <c r="O22" i="14"/>
  <c r="L22" i="14"/>
  <c r="I22" i="14"/>
  <c r="F22" i="14"/>
  <c r="B7" i="15" l="1"/>
  <c r="B5" i="16"/>
  <c r="F18" i="21"/>
  <c r="E4" i="15"/>
  <c r="C7" i="15"/>
  <c r="C5" i="16"/>
  <c r="D7" i="15"/>
  <c r="D5" i="16"/>
  <c r="F7" i="15"/>
  <c r="F5" i="16"/>
  <c r="D27" i="21"/>
  <c r="D29" i="21" s="1"/>
  <c r="D36" i="21" s="1"/>
  <c r="D38" i="21" s="1"/>
  <c r="C10" i="15" s="1"/>
  <c r="C8" i="15"/>
  <c r="C27" i="21"/>
  <c r="B8" i="15"/>
  <c r="F27" i="21"/>
  <c r="F29" i="21" s="1"/>
  <c r="F36" i="21" s="1"/>
  <c r="F38" i="21" s="1"/>
  <c r="E10" i="15" s="1"/>
  <c r="E8" i="15"/>
  <c r="F40" i="21"/>
  <c r="F42" i="21" s="1"/>
  <c r="F44" i="21" s="1"/>
  <c r="F47" i="21" s="1"/>
  <c r="D40" i="21"/>
  <c r="D42" i="21" s="1"/>
  <c r="D44" i="21" s="1"/>
  <c r="D47" i="21" s="1"/>
  <c r="I24" i="21"/>
  <c r="I18" i="21"/>
  <c r="G46" i="21"/>
  <c r="F11" i="15" s="1"/>
  <c r="G44" i="21"/>
  <c r="G47" i="21" s="1"/>
  <c r="H44" i="21"/>
  <c r="H47" i="21" s="1"/>
  <c r="H46" i="21"/>
  <c r="I60" i="21"/>
  <c r="E46" i="21"/>
  <c r="D11" i="15" s="1"/>
  <c r="E44" i="21"/>
  <c r="E47" i="21" s="1"/>
  <c r="C29" i="21"/>
  <c r="I27" i="21"/>
  <c r="E60" i="13"/>
  <c r="C60" i="13"/>
  <c r="G60" i="13"/>
  <c r="F60" i="13"/>
  <c r="H90" i="13"/>
  <c r="H85" i="13"/>
  <c r="H72" i="13"/>
  <c r="E7" i="15" l="1"/>
  <c r="E5" i="16"/>
  <c r="F46" i="21"/>
  <c r="E11" i="15" s="1"/>
  <c r="D46" i="21"/>
  <c r="C11" i="15" s="1"/>
  <c r="F49" i="21"/>
  <c r="F54" i="21"/>
  <c r="F56" i="21" s="1"/>
  <c r="F65" i="21"/>
  <c r="H49" i="21"/>
  <c r="H50" i="21" s="1"/>
  <c r="H65" i="21"/>
  <c r="H54" i="21"/>
  <c r="H56" i="21" s="1"/>
  <c r="H61" i="21" s="1"/>
  <c r="D54" i="21"/>
  <c r="D56" i="21" s="1"/>
  <c r="D49" i="21"/>
  <c r="D65" i="21"/>
  <c r="I29" i="21"/>
  <c r="C36" i="21"/>
  <c r="G54" i="21"/>
  <c r="G56" i="21" s="1"/>
  <c r="G49" i="21"/>
  <c r="G65" i="21"/>
  <c r="E65" i="21"/>
  <c r="E54" i="21"/>
  <c r="E56" i="21" s="1"/>
  <c r="E49" i="21"/>
  <c r="I60" i="13"/>
  <c r="H91" i="13"/>
  <c r="H100" i="13"/>
  <c r="G100" i="13"/>
  <c r="F100" i="13"/>
  <c r="E100" i="13"/>
  <c r="D100" i="13"/>
  <c r="H32" i="13"/>
  <c r="G32" i="13"/>
  <c r="F32" i="13"/>
  <c r="E32" i="13"/>
  <c r="D32" i="13"/>
  <c r="E50" i="21" l="1"/>
  <c r="D12" i="15"/>
  <c r="E61" i="21"/>
  <c r="D14" i="15"/>
  <c r="G50" i="21"/>
  <c r="F12" i="15"/>
  <c r="G61" i="21"/>
  <c r="F14" i="15"/>
  <c r="D50" i="21"/>
  <c r="C12" i="15"/>
  <c r="D61" i="21"/>
  <c r="C14" i="15"/>
  <c r="F61" i="21"/>
  <c r="E14" i="15"/>
  <c r="F50" i="21"/>
  <c r="E12" i="15"/>
  <c r="G66" i="21"/>
  <c r="G98" i="21" s="1"/>
  <c r="G100" i="21" s="1"/>
  <c r="F66" i="21"/>
  <c r="F98" i="21" s="1"/>
  <c r="E66" i="21"/>
  <c r="E68" i="21" s="1"/>
  <c r="C40" i="21"/>
  <c r="C38" i="21"/>
  <c r="I36" i="21"/>
  <c r="H66" i="21"/>
  <c r="H98" i="21" s="1"/>
  <c r="H100" i="21" s="1"/>
  <c r="H105" i="21" s="1"/>
  <c r="H126" i="21"/>
  <c r="H128" i="21" s="1"/>
  <c r="H132" i="21" s="1"/>
  <c r="H150" i="21" s="1"/>
  <c r="D66" i="21"/>
  <c r="D68" i="21" s="1"/>
  <c r="H23" i="13"/>
  <c r="H24" i="13" s="1"/>
  <c r="H27" i="13" s="1"/>
  <c r="H29" i="13" s="1"/>
  <c r="H36" i="13" s="1"/>
  <c r="H40" i="13" s="1"/>
  <c r="H42" i="13" s="1"/>
  <c r="G23" i="13"/>
  <c r="F23" i="13"/>
  <c r="E23" i="13"/>
  <c r="D23" i="13"/>
  <c r="H14" i="13"/>
  <c r="H17" i="13" s="1"/>
  <c r="G14" i="13"/>
  <c r="G17" i="13" s="1"/>
  <c r="F14" i="13"/>
  <c r="F17" i="13" s="1"/>
  <c r="E14" i="13"/>
  <c r="D14" i="13"/>
  <c r="D17" i="13" s="1"/>
  <c r="H11" i="13"/>
  <c r="G11" i="13"/>
  <c r="F11" i="13"/>
  <c r="E11" i="13"/>
  <c r="D11" i="13"/>
  <c r="H8" i="13"/>
  <c r="G8" i="13"/>
  <c r="F8" i="13"/>
  <c r="E8" i="13"/>
  <c r="D8" i="13"/>
  <c r="I38" i="21" l="1"/>
  <c r="B10" i="15"/>
  <c r="E13" i="15"/>
  <c r="E7" i="16"/>
  <c r="E16" i="15"/>
  <c r="E8" i="16"/>
  <c r="C16" i="15"/>
  <c r="C8" i="16"/>
  <c r="C13" i="15"/>
  <c r="C7" i="16"/>
  <c r="F16" i="15"/>
  <c r="F8" i="16"/>
  <c r="F13" i="15"/>
  <c r="F7" i="16"/>
  <c r="D16" i="15"/>
  <c r="D8" i="16"/>
  <c r="D13" i="15"/>
  <c r="D7" i="16"/>
  <c r="I98" i="21"/>
  <c r="F100" i="21"/>
  <c r="H106" i="21"/>
  <c r="H111" i="21" s="1"/>
  <c r="H125" i="21" s="1"/>
  <c r="C42" i="21"/>
  <c r="I40" i="21"/>
  <c r="G105" i="21"/>
  <c r="G103" i="21"/>
  <c r="F18" i="15" s="1"/>
  <c r="E17" i="13"/>
  <c r="E18" i="13" s="1"/>
  <c r="H44" i="13"/>
  <c r="H46" i="13"/>
  <c r="H47" i="13"/>
  <c r="H38" i="13"/>
  <c r="F18" i="13"/>
  <c r="H18" i="13"/>
  <c r="G18" i="13"/>
  <c r="D18" i="13"/>
  <c r="C100" i="13"/>
  <c r="C32" i="13"/>
  <c r="C23" i="13"/>
  <c r="I23" i="13" s="1"/>
  <c r="C14" i="13"/>
  <c r="E6" i="12"/>
  <c r="H4" i="14"/>
  <c r="Q21" i="14"/>
  <c r="Q20" i="14"/>
  <c r="Q19" i="14"/>
  <c r="Q18" i="14"/>
  <c r="Q17" i="14"/>
  <c r="Q16" i="14"/>
  <c r="Q15" i="14"/>
  <c r="Q14" i="14"/>
  <c r="Q13" i="14"/>
  <c r="Q12" i="14"/>
  <c r="Q11" i="14"/>
  <c r="Q10" i="14"/>
  <c r="Q9" i="14"/>
  <c r="Q8" i="14"/>
  <c r="Q7" i="14"/>
  <c r="Q6" i="14"/>
  <c r="Q5" i="14"/>
  <c r="Q4" i="14"/>
  <c r="N21" i="14"/>
  <c r="N20" i="14"/>
  <c r="N19" i="14"/>
  <c r="N18" i="14"/>
  <c r="N17" i="14"/>
  <c r="N16" i="14"/>
  <c r="N15" i="14"/>
  <c r="N14" i="14"/>
  <c r="N13" i="14"/>
  <c r="N12" i="14"/>
  <c r="N11" i="14"/>
  <c r="N10" i="14"/>
  <c r="N9" i="14"/>
  <c r="N8" i="14"/>
  <c r="N7" i="14"/>
  <c r="N6" i="14"/>
  <c r="N5" i="14"/>
  <c r="N4" i="14"/>
  <c r="K21" i="14"/>
  <c r="K20" i="14"/>
  <c r="K19" i="14"/>
  <c r="K18" i="14"/>
  <c r="K17" i="14"/>
  <c r="K16" i="14"/>
  <c r="K15" i="14"/>
  <c r="K14" i="14"/>
  <c r="K13" i="14"/>
  <c r="K12" i="14"/>
  <c r="K11" i="14"/>
  <c r="K10" i="14"/>
  <c r="K9" i="14"/>
  <c r="K8" i="14"/>
  <c r="K7" i="14"/>
  <c r="K6" i="14"/>
  <c r="K5" i="14"/>
  <c r="K4" i="14"/>
  <c r="H21" i="14"/>
  <c r="H20" i="14"/>
  <c r="H19" i="14"/>
  <c r="H18" i="14"/>
  <c r="H17" i="14"/>
  <c r="H16" i="14"/>
  <c r="H15" i="14"/>
  <c r="H14" i="14"/>
  <c r="H13" i="14"/>
  <c r="H12" i="14"/>
  <c r="H11" i="14"/>
  <c r="H10" i="14"/>
  <c r="H9" i="14"/>
  <c r="H8" i="14"/>
  <c r="H7" i="14"/>
  <c r="H6" i="14"/>
  <c r="E21" i="14"/>
  <c r="T21" i="14" s="1"/>
  <c r="E20" i="14"/>
  <c r="E19" i="14"/>
  <c r="T19" i="14" s="1"/>
  <c r="E18" i="14"/>
  <c r="T18" i="14" s="1"/>
  <c r="E17" i="14"/>
  <c r="T17" i="14" s="1"/>
  <c r="E16" i="14"/>
  <c r="E15" i="14"/>
  <c r="T15" i="14" s="1"/>
  <c r="E14" i="14"/>
  <c r="T14" i="14" s="1"/>
  <c r="E13" i="14"/>
  <c r="T13" i="14" s="1"/>
  <c r="E12" i="14"/>
  <c r="E11" i="14"/>
  <c r="T11" i="14" s="1"/>
  <c r="E10" i="14"/>
  <c r="T10" i="14" s="1"/>
  <c r="E9" i="14"/>
  <c r="T9" i="14" s="1"/>
  <c r="E8" i="14"/>
  <c r="T8" i="14" s="1"/>
  <c r="E7" i="14"/>
  <c r="T7" i="14" s="1"/>
  <c r="E6" i="14"/>
  <c r="T6" i="14" s="1"/>
  <c r="E5" i="14"/>
  <c r="T5" i="14" s="1"/>
  <c r="E4" i="14"/>
  <c r="T4" i="14" s="1"/>
  <c r="G106" i="21" l="1"/>
  <c r="H113" i="21"/>
  <c r="H118" i="21" s="1"/>
  <c r="C46" i="21"/>
  <c r="C44" i="21"/>
  <c r="I42" i="21"/>
  <c r="I32" i="13"/>
  <c r="B5" i="15"/>
  <c r="I14" i="13"/>
  <c r="C17" i="13"/>
  <c r="U12" i="14"/>
  <c r="T12" i="14"/>
  <c r="U16" i="14"/>
  <c r="T16" i="14"/>
  <c r="U20" i="14"/>
  <c r="T20" i="14"/>
  <c r="U9" i="14"/>
  <c r="U13" i="14"/>
  <c r="U17" i="14"/>
  <c r="U21" i="14"/>
  <c r="U10" i="14"/>
  <c r="U14" i="14"/>
  <c r="U18" i="14"/>
  <c r="U7" i="14"/>
  <c r="U11" i="14"/>
  <c r="U15" i="14"/>
  <c r="U19" i="14"/>
  <c r="U5" i="14"/>
  <c r="G3" i="16"/>
  <c r="L3" i="20" s="1"/>
  <c r="U8" i="14"/>
  <c r="U6" i="14"/>
  <c r="H22" i="14"/>
  <c r="D20" i="13" s="1"/>
  <c r="D24" i="13" s="1"/>
  <c r="Q22" i="14"/>
  <c r="F24" i="13" s="1"/>
  <c r="F29" i="13" s="1"/>
  <c r="F36" i="13" s="1"/>
  <c r="H49" i="13"/>
  <c r="H50" i="13" s="1"/>
  <c r="H65" i="13"/>
  <c r="H69" i="13" s="1"/>
  <c r="H54" i="13"/>
  <c r="H56" i="13" s="1"/>
  <c r="H61" i="13" s="1"/>
  <c r="N22" i="14"/>
  <c r="G24" i="13" s="1"/>
  <c r="G6" i="16"/>
  <c r="H13" i="20" s="1"/>
  <c r="U4" i="14"/>
  <c r="K22" i="14"/>
  <c r="E20" i="13" s="1"/>
  <c r="E24" i="13" s="1"/>
  <c r="I46" i="21" l="1"/>
  <c r="B11" i="15"/>
  <c r="G111" i="21"/>
  <c r="G109" i="21"/>
  <c r="F19" i="15" s="1"/>
  <c r="I44" i="21"/>
  <c r="C47" i="21"/>
  <c r="B6" i="15"/>
  <c r="I17" i="13"/>
  <c r="G29" i="13"/>
  <c r="G36" i="13" s="1"/>
  <c r="E27" i="13"/>
  <c r="E29" i="13" s="1"/>
  <c r="E36" i="13" s="1"/>
  <c r="D27" i="13"/>
  <c r="D29" i="13" s="1"/>
  <c r="D36" i="13" s="1"/>
  <c r="F38" i="13"/>
  <c r="F40" i="13"/>
  <c r="F42" i="13" s="1"/>
  <c r="H66" i="13"/>
  <c r="H95" i="13"/>
  <c r="H97" i="13" s="1"/>
  <c r="H101" i="13" s="1"/>
  <c r="G125" i="21" l="1"/>
  <c r="G113" i="21"/>
  <c r="G126" i="21"/>
  <c r="C54" i="21"/>
  <c r="I47" i="21"/>
  <c r="C49" i="21"/>
  <c r="B12" i="15" s="1"/>
  <c r="C65" i="21"/>
  <c r="I73" i="21" s="1"/>
  <c r="F44" i="13"/>
  <c r="F46" i="13"/>
  <c r="D40" i="13"/>
  <c r="D42" i="13" s="1"/>
  <c r="D38" i="13"/>
  <c r="E40" i="13"/>
  <c r="E42" i="13" s="1"/>
  <c r="E38" i="13"/>
  <c r="G38" i="13"/>
  <c r="G40" i="13"/>
  <c r="G42" i="13" s="1"/>
  <c r="F47" i="13"/>
  <c r="H74" i="13"/>
  <c r="H82" i="13" s="1"/>
  <c r="H87" i="13" s="1"/>
  <c r="C22" i="14"/>
  <c r="G128" i="21" l="1"/>
  <c r="F4" i="16"/>
  <c r="G116" i="21"/>
  <c r="F20" i="15" s="1"/>
  <c r="G118" i="21"/>
  <c r="G121" i="21" s="1"/>
  <c r="C66" i="21"/>
  <c r="I65" i="21"/>
  <c r="C50" i="21"/>
  <c r="I49" i="21"/>
  <c r="C56" i="21"/>
  <c r="B14" i="15" s="1"/>
  <c r="I54" i="21"/>
  <c r="G44" i="13"/>
  <c r="G46" i="13"/>
  <c r="D44" i="13"/>
  <c r="D47" i="13" s="1"/>
  <c r="D46" i="13"/>
  <c r="E44" i="13"/>
  <c r="E46" i="13"/>
  <c r="C23" i="14"/>
  <c r="C9" i="13"/>
  <c r="G47" i="13"/>
  <c r="E47" i="13"/>
  <c r="F54" i="13"/>
  <c r="F56" i="13" s="1"/>
  <c r="F61" i="13" s="1"/>
  <c r="F49" i="13"/>
  <c r="F65" i="13"/>
  <c r="E22" i="14"/>
  <c r="T22" i="14" s="1"/>
  <c r="B13" i="15" l="1"/>
  <c r="B7" i="16"/>
  <c r="G122" i="21"/>
  <c r="F21" i="15"/>
  <c r="G132" i="21"/>
  <c r="F23" i="15"/>
  <c r="C68" i="21"/>
  <c r="I68" i="21"/>
  <c r="I71" i="21" s="1"/>
  <c r="I97" i="21" s="1"/>
  <c r="I66" i="21"/>
  <c r="I50" i="21"/>
  <c r="I56" i="21"/>
  <c r="C61" i="21"/>
  <c r="C11" i="13"/>
  <c r="I9" i="13"/>
  <c r="E49" i="13"/>
  <c r="E65" i="13"/>
  <c r="E54" i="13"/>
  <c r="E56" i="13" s="1"/>
  <c r="E61" i="13" s="1"/>
  <c r="G54" i="13"/>
  <c r="G56" i="13" s="1"/>
  <c r="G61" i="13" s="1"/>
  <c r="G65" i="13"/>
  <c r="G49" i="13"/>
  <c r="D49" i="13"/>
  <c r="D65" i="13"/>
  <c r="D54" i="13"/>
  <c r="D56" i="13" s="1"/>
  <c r="D61" i="13" s="1"/>
  <c r="C20" i="13"/>
  <c r="F50" i="13"/>
  <c r="F66" i="13"/>
  <c r="F69" i="13"/>
  <c r="U22" i="14"/>
  <c r="I61" i="21" l="1"/>
  <c r="B16" i="15"/>
  <c r="B8" i="16"/>
  <c r="F25" i="15"/>
  <c r="F11" i="16"/>
  <c r="F22" i="15"/>
  <c r="F10" i="16"/>
  <c r="I72" i="21"/>
  <c r="E69" i="21"/>
  <c r="D69" i="21"/>
  <c r="C69" i="21"/>
  <c r="D97" i="21"/>
  <c r="D100" i="21" s="1"/>
  <c r="C24" i="13"/>
  <c r="I24" i="13" s="1"/>
  <c r="I20" i="13"/>
  <c r="D66" i="13"/>
  <c r="D69" i="13"/>
  <c r="D50" i="13"/>
  <c r="G50" i="13"/>
  <c r="E66" i="13"/>
  <c r="E69" i="13"/>
  <c r="G66" i="13"/>
  <c r="G69" i="13"/>
  <c r="E50" i="13"/>
  <c r="F72" i="13"/>
  <c r="F74" i="13"/>
  <c r="F80" i="13" s="1"/>
  <c r="E97" i="21" l="1"/>
  <c r="E100" i="21" s="1"/>
  <c r="E105" i="21" s="1"/>
  <c r="E106" i="21" s="1"/>
  <c r="I78" i="21"/>
  <c r="I89" i="21" s="1"/>
  <c r="E89" i="21" s="1"/>
  <c r="I90" i="21"/>
  <c r="C90" i="21" s="1"/>
  <c r="C92" i="21" s="1"/>
  <c r="C97" i="21"/>
  <c r="C100" i="21" s="1"/>
  <c r="C103" i="21" s="1"/>
  <c r="B18" i="15" s="1"/>
  <c r="I100" i="21"/>
  <c r="F105" i="21"/>
  <c r="F106" i="21" s="1"/>
  <c r="F103" i="21"/>
  <c r="E18" i="15" s="1"/>
  <c r="D105" i="21"/>
  <c r="D106" i="21" s="1"/>
  <c r="D103" i="21"/>
  <c r="C18" i="15" s="1"/>
  <c r="C105" i="21"/>
  <c r="E103" i="21"/>
  <c r="D18" i="15" s="1"/>
  <c r="C27" i="13"/>
  <c r="C29" i="13"/>
  <c r="I27" i="13"/>
  <c r="G74" i="13"/>
  <c r="G80" i="13" s="1"/>
  <c r="G72" i="13"/>
  <c r="E72" i="13"/>
  <c r="E74" i="13"/>
  <c r="E80" i="13" s="1"/>
  <c r="D72" i="13"/>
  <c r="D74" i="13"/>
  <c r="D80" i="13" s="1"/>
  <c r="F82" i="13"/>
  <c r="D17" i="15" l="1"/>
  <c r="D9" i="16"/>
  <c r="C89" i="21"/>
  <c r="E90" i="21"/>
  <c r="E92" i="21" s="1"/>
  <c r="E94" i="21" s="1"/>
  <c r="D89" i="21"/>
  <c r="D90" i="21"/>
  <c r="D92" i="21" s="1"/>
  <c r="E111" i="21"/>
  <c r="E109" i="21"/>
  <c r="D19" i="15" s="1"/>
  <c r="D111" i="21"/>
  <c r="D109" i="21"/>
  <c r="C19" i="15" s="1"/>
  <c r="I103" i="21"/>
  <c r="I145" i="21" s="1"/>
  <c r="I146" i="21" s="1"/>
  <c r="C106" i="21"/>
  <c r="I105" i="21"/>
  <c r="F111" i="21"/>
  <c r="F109" i="21"/>
  <c r="E19" i="15" s="1"/>
  <c r="C94" i="21"/>
  <c r="C95" i="21"/>
  <c r="C36" i="13"/>
  <c r="I29" i="13"/>
  <c r="F85" i="13"/>
  <c r="F87" i="13"/>
  <c r="B9" i="16" l="1"/>
  <c r="B17" i="15"/>
  <c r="C9" i="16"/>
  <c r="C17" i="15"/>
  <c r="E95" i="21"/>
  <c r="E125" i="21" s="1"/>
  <c r="I91" i="21"/>
  <c r="D95" i="21"/>
  <c r="D94" i="21"/>
  <c r="D113" i="21" s="1"/>
  <c r="D116" i="21" s="1"/>
  <c r="C20" i="15" s="1"/>
  <c r="I92" i="21"/>
  <c r="I95" i="21" s="1"/>
  <c r="E113" i="21"/>
  <c r="E116" i="21" s="1"/>
  <c r="D20" i="15" s="1"/>
  <c r="F113" i="21"/>
  <c r="F118" i="21" s="1"/>
  <c r="F121" i="21" s="1"/>
  <c r="E21" i="15" s="1"/>
  <c r="C111" i="21"/>
  <c r="C109" i="21"/>
  <c r="I106" i="21"/>
  <c r="D125" i="21"/>
  <c r="C113" i="21"/>
  <c r="C116" i="21" s="1"/>
  <c r="B20" i="15" s="1"/>
  <c r="F125" i="21"/>
  <c r="F126" i="21" s="1"/>
  <c r="C148" i="21"/>
  <c r="G148" i="21"/>
  <c r="F148" i="21"/>
  <c r="E148" i="21"/>
  <c r="D148" i="21"/>
  <c r="F116" i="21"/>
  <c r="E20" i="15" s="1"/>
  <c r="C38" i="13"/>
  <c r="I36" i="13"/>
  <c r="C40" i="13"/>
  <c r="E82" i="13"/>
  <c r="G82" i="13"/>
  <c r="D82" i="13"/>
  <c r="F90" i="13"/>
  <c r="F94" i="13"/>
  <c r="F95" i="13" s="1"/>
  <c r="C26" i="15" l="1"/>
  <c r="C12" i="16"/>
  <c r="D26" i="15"/>
  <c r="D12" i="16"/>
  <c r="E26" i="15"/>
  <c r="E12" i="16"/>
  <c r="G150" i="21"/>
  <c r="F26" i="15"/>
  <c r="F27" i="15" s="1"/>
  <c r="F12" i="16"/>
  <c r="B26" i="15"/>
  <c r="B12" i="16"/>
  <c r="F128" i="21"/>
  <c r="E4" i="16"/>
  <c r="I109" i="21"/>
  <c r="B19" i="15"/>
  <c r="I94" i="21"/>
  <c r="G9" i="16"/>
  <c r="C118" i="21"/>
  <c r="C121" i="21" s="1"/>
  <c r="D118" i="21"/>
  <c r="D121" i="21" s="1"/>
  <c r="E118" i="21"/>
  <c r="E121" i="21" s="1"/>
  <c r="F122" i="21"/>
  <c r="I148" i="21"/>
  <c r="C125" i="21"/>
  <c r="C126" i="21" s="1"/>
  <c r="B4" i="16" s="1"/>
  <c r="I111" i="21"/>
  <c r="I113" i="21" s="1"/>
  <c r="I116" i="21"/>
  <c r="E126" i="21"/>
  <c r="D126" i="21"/>
  <c r="C42" i="13"/>
  <c r="C46" i="13" s="1"/>
  <c r="I40" i="13"/>
  <c r="I38" i="13"/>
  <c r="G85" i="13"/>
  <c r="G87" i="13"/>
  <c r="D85" i="13"/>
  <c r="D87" i="13"/>
  <c r="E85" i="13"/>
  <c r="E87" i="13"/>
  <c r="F97" i="13"/>
  <c r="F91" i="13"/>
  <c r="E22" i="15" l="1"/>
  <c r="E10" i="16"/>
  <c r="F132" i="21"/>
  <c r="E23" i="15"/>
  <c r="C122" i="21"/>
  <c r="B21" i="15"/>
  <c r="D122" i="21"/>
  <c r="C21" i="15"/>
  <c r="D128" i="21"/>
  <c r="C4" i="16"/>
  <c r="E128" i="21"/>
  <c r="D4" i="16"/>
  <c r="E122" i="21"/>
  <c r="D21" i="15"/>
  <c r="I118" i="21"/>
  <c r="I122" i="21"/>
  <c r="I121" i="21"/>
  <c r="I125" i="21"/>
  <c r="C128" i="21"/>
  <c r="B23" i="15" s="1"/>
  <c r="I126" i="21"/>
  <c r="C44" i="13"/>
  <c r="I42" i="13"/>
  <c r="E90" i="13"/>
  <c r="E94" i="13"/>
  <c r="E95" i="13" s="1"/>
  <c r="G90" i="13"/>
  <c r="G94" i="13"/>
  <c r="G95" i="13" s="1"/>
  <c r="D90" i="13"/>
  <c r="D94" i="13"/>
  <c r="D95" i="13" s="1"/>
  <c r="F101" i="13"/>
  <c r="E25" i="15" l="1"/>
  <c r="E27" i="15" s="1"/>
  <c r="E11" i="16"/>
  <c r="F150" i="21"/>
  <c r="C10" i="16"/>
  <c r="C22" i="15"/>
  <c r="E132" i="21"/>
  <c r="D23" i="15"/>
  <c r="D10" i="16"/>
  <c r="D22" i="15"/>
  <c r="D132" i="21"/>
  <c r="C23" i="15"/>
  <c r="B22" i="15"/>
  <c r="B10" i="16"/>
  <c r="I128" i="21"/>
  <c r="C132" i="21"/>
  <c r="C47" i="13"/>
  <c r="I44" i="13"/>
  <c r="G97" i="13"/>
  <c r="G91" i="13"/>
  <c r="E97" i="13"/>
  <c r="D97" i="13"/>
  <c r="D91" i="13"/>
  <c r="E91" i="13"/>
  <c r="D150" i="21" l="1"/>
  <c r="C25" i="15"/>
  <c r="C27" i="15" s="1"/>
  <c r="C11" i="16"/>
  <c r="D25" i="15"/>
  <c r="D27" i="15" s="1"/>
  <c r="D11" i="16"/>
  <c r="C150" i="21"/>
  <c r="B11" i="16"/>
  <c r="B25" i="15"/>
  <c r="B27" i="15" s="1"/>
  <c r="E150" i="21"/>
  <c r="I132" i="21"/>
  <c r="I46" i="13"/>
  <c r="C65" i="13"/>
  <c r="I47" i="13"/>
  <c r="C54" i="13"/>
  <c r="C49" i="13"/>
  <c r="D101" i="13"/>
  <c r="E101" i="13"/>
  <c r="G101" i="13"/>
  <c r="I150" i="21" l="1"/>
  <c r="I49" i="13"/>
  <c r="C50" i="13"/>
  <c r="C69" i="13"/>
  <c r="I65" i="13"/>
  <c r="C66" i="13"/>
  <c r="I66" i="13" s="1"/>
  <c r="I54" i="13"/>
  <c r="C56" i="13"/>
  <c r="C61" i="13" s="1"/>
  <c r="I50" i="13" l="1"/>
  <c r="G7" i="16"/>
  <c r="M13" i="20" s="1"/>
  <c r="I56" i="13"/>
  <c r="C74" i="13"/>
  <c r="C80" i="13" s="1"/>
  <c r="I69" i="13"/>
  <c r="C72" i="13"/>
  <c r="I72" i="13" l="1"/>
  <c r="I114" i="13" s="1"/>
  <c r="I115" i="13" s="1"/>
  <c r="I61" i="13"/>
  <c r="I74" i="13"/>
  <c r="G8" i="16" l="1"/>
  <c r="R13" i="20" s="1"/>
  <c r="F117" i="13"/>
  <c r="C117" i="13"/>
  <c r="G117" i="13"/>
  <c r="D117" i="13"/>
  <c r="E117" i="13"/>
  <c r="H119" i="13"/>
  <c r="I80" i="13"/>
  <c r="C82" i="13"/>
  <c r="I82" i="13" l="1"/>
  <c r="C87" i="13"/>
  <c r="C90" i="13" s="1"/>
  <c r="C85" i="13"/>
  <c r="D119" i="13"/>
  <c r="I117" i="13"/>
  <c r="F13" i="16"/>
  <c r="E13" i="16"/>
  <c r="C13" i="16"/>
  <c r="D13" i="16"/>
  <c r="E119" i="13"/>
  <c r="C94" i="13"/>
  <c r="G119" i="13"/>
  <c r="F119" i="13"/>
  <c r="C91" i="13" l="1"/>
  <c r="I90" i="13"/>
  <c r="C95" i="13"/>
  <c r="I94" i="13"/>
  <c r="I85" i="13"/>
  <c r="G12" i="16"/>
  <c r="M27" i="20" s="1"/>
  <c r="I95" i="13" l="1"/>
  <c r="C97" i="13"/>
  <c r="G4" i="16"/>
  <c r="Q3" i="20" s="1"/>
  <c r="I91" i="13"/>
  <c r="G10" i="16"/>
  <c r="C27" i="20" s="1"/>
  <c r="I97" i="13" l="1"/>
  <c r="C101" i="13"/>
  <c r="I101" i="13" l="1"/>
  <c r="G11" i="16"/>
  <c r="H27" i="20" s="1"/>
  <c r="C8" i="13" l="1"/>
  <c r="B3" i="15" l="1"/>
  <c r="I8" i="13"/>
  <c r="C18" i="13"/>
  <c r="C119" i="13" l="1"/>
  <c r="I18" i="13"/>
  <c r="G5" i="16"/>
  <c r="B13" i="16"/>
  <c r="I119" i="13" l="1"/>
  <c r="C13" i="20"/>
  <c r="G13" i="16"/>
  <c r="BG17" i="20" l="1"/>
  <c r="BG15" i="20"/>
  <c r="V3" i="20"/>
  <c r="C18" i="20" s="1"/>
  <c r="BG18" i="20"/>
  <c r="BG19" i="20"/>
  <c r="BG16" i="20"/>
  <c r="BG14" i="20"/>
  <c r="M32" i="20" l="1"/>
  <c r="H18" i="20"/>
  <c r="M18" i="20"/>
  <c r="C32" i="20"/>
  <c r="R18" i="20"/>
  <c r="H32" i="20"/>
</calcChain>
</file>

<file path=xl/sharedStrings.xml><?xml version="1.0" encoding="utf-8"?>
<sst xmlns="http://schemas.openxmlformats.org/spreadsheetml/2006/main" count="1073" uniqueCount="650">
  <si>
    <t>Discovery Proportionality Model
TAR 1.0 Calculator Instructions</t>
  </si>
  <si>
    <r>
      <t xml:space="preserve">Follow the steps outlined below to use the </t>
    </r>
    <r>
      <rPr>
        <b/>
        <sz val="11"/>
        <color theme="1"/>
        <rFont val="Arial"/>
        <family val="2"/>
      </rPr>
      <t>Step 4.</t>
    </r>
    <r>
      <rPr>
        <sz val="11"/>
        <color theme="1"/>
        <rFont val="Arial"/>
        <family val="2"/>
      </rPr>
      <t xml:space="preserve"> </t>
    </r>
    <r>
      <rPr>
        <b/>
        <sz val="11"/>
        <color theme="1"/>
        <rFont val="Arial"/>
        <family val="2"/>
      </rPr>
      <t>Calculations</t>
    </r>
    <r>
      <rPr>
        <b/>
        <i/>
        <sz val="11"/>
        <color theme="1"/>
        <rFont val="Arial"/>
        <family val="2"/>
      </rPr>
      <t xml:space="preserve"> </t>
    </r>
    <r>
      <rPr>
        <sz val="11"/>
        <color theme="1"/>
        <rFont val="Arial"/>
        <family val="2"/>
      </rPr>
      <t xml:space="preserve">to obtain estimates of the TAR ediscovery costs for your specific matter. The results are presented in several different formats, one for the attorneys that includes full details, and then another two options which provides a higher level view you may want to present to a judge in the context of a proportionality dispute. 
PLEASE NOTE: There are seven tabs included in the workbook designed to guide you through from start to finish. The first three tabs will display your results. Start your calculations with </t>
    </r>
    <r>
      <rPr>
        <b/>
        <sz val="11"/>
        <color theme="1"/>
        <rFont val="Arial"/>
        <family val="2"/>
      </rPr>
      <t>Step 1. Data Source Estimation</t>
    </r>
  </si>
  <si>
    <r>
      <rPr>
        <b/>
        <sz val="11"/>
        <color theme="1"/>
        <rFont val="Arial"/>
        <family val="2"/>
      </rPr>
      <t xml:space="preserve">Judicial Dashboard
</t>
    </r>
    <r>
      <rPr>
        <sz val="11"/>
        <color theme="1"/>
        <rFont val="Arial"/>
        <family val="2"/>
      </rPr>
      <t>This tab displays a dashboard style overview of the costs associated with each stage of the ESI project and also provides a per source breakdown.</t>
    </r>
  </si>
  <si>
    <r>
      <rPr>
        <b/>
        <sz val="11"/>
        <color theme="1"/>
        <rFont val="Arial"/>
        <family val="2"/>
      </rPr>
      <t>Judicial Detail View</t>
    </r>
    <r>
      <rPr>
        <sz val="11"/>
        <color theme="1"/>
        <rFont val="Arial"/>
        <family val="2"/>
      </rPr>
      <t xml:space="preserve">
This tab represents the total costs in streamlined view that you may want to present to a Judge.</t>
    </r>
  </si>
  <si>
    <r>
      <rPr>
        <b/>
        <sz val="11"/>
        <color theme="1"/>
        <rFont val="Arial"/>
        <family val="2"/>
      </rPr>
      <t>Attorney Detail View</t>
    </r>
    <r>
      <rPr>
        <sz val="11"/>
        <color theme="1"/>
        <rFont val="Arial"/>
        <family val="2"/>
      </rPr>
      <t xml:space="preserve">
The results presented here depict the subtotal costs from the Standard Review Calculator for each pertinent eDiscovery stages.</t>
    </r>
  </si>
  <si>
    <r>
      <rPr>
        <b/>
        <i/>
        <u/>
        <sz val="11"/>
        <color rgb="FF0070C0"/>
        <rFont val="Arial"/>
        <family val="2"/>
      </rPr>
      <t>Step 1.</t>
    </r>
    <r>
      <rPr>
        <b/>
        <i/>
        <sz val="11"/>
        <color rgb="FF0070C0"/>
        <rFont val="Arial"/>
        <family val="2"/>
      </rPr>
      <t xml:space="preserve"> </t>
    </r>
    <r>
      <rPr>
        <b/>
        <sz val="11"/>
        <color rgb="FF0070C0"/>
        <rFont val="Arial"/>
        <family val="2"/>
      </rPr>
      <t>Data Source Estimates:</t>
    </r>
    <r>
      <rPr>
        <sz val="11"/>
        <color theme="1"/>
        <rFont val="Arial"/>
        <family val="2"/>
      </rPr>
      <t xml:space="preserve">
Typically, the discovery process begins by identifying people who have information potentially relevant to a matter.  From a technology perspective, such person or groups of like people are considered "custodians" of "data" or Electronically Stored Information (ESI) pertinent to the case. </t>
    </r>
    <r>
      <rPr>
        <b/>
        <i/>
        <sz val="11"/>
        <color theme="1"/>
        <rFont val="Arial"/>
        <family val="2"/>
      </rPr>
      <t xml:space="preserve"> Tab  #1: Data Source Estimates</t>
    </r>
    <r>
      <rPr>
        <sz val="11"/>
        <color theme="1"/>
        <rFont val="Arial"/>
        <family val="2"/>
      </rPr>
      <t xml:space="preserve"> allows you to list those custodians, data sources and the associated  data volumes anticipated for each.  </t>
    </r>
  </si>
  <si>
    <r>
      <rPr>
        <b/>
        <i/>
        <u/>
        <sz val="11"/>
        <color rgb="FF0070C0"/>
        <rFont val="Arial"/>
        <family val="2"/>
      </rPr>
      <t>Step 2.</t>
    </r>
    <r>
      <rPr>
        <b/>
        <i/>
        <sz val="11"/>
        <color rgb="FF0070C0"/>
        <rFont val="Arial"/>
        <family val="2"/>
      </rPr>
      <t xml:space="preserve">  </t>
    </r>
    <r>
      <rPr>
        <b/>
        <sz val="11"/>
        <color rgb="FF0070C0"/>
        <rFont val="Arial"/>
        <family val="2"/>
      </rPr>
      <t>Cost Values:</t>
    </r>
    <r>
      <rPr>
        <sz val="11"/>
        <color rgb="FF0070C0"/>
        <rFont val="Arial"/>
        <family val="2"/>
      </rPr>
      <t xml:space="preserve"> </t>
    </r>
    <r>
      <rPr>
        <sz val="11"/>
        <color theme="1"/>
        <rFont val="Arial"/>
        <family val="2"/>
      </rPr>
      <t xml:space="preserve">
After identifying data sources and volumes, determine costs for each type of device being collected and each ediscovery phase that follows: Collection, Pre-processing, Processing, Hosting, TAR, Review, and Production.  Exemplar prices in this calculator should be replaced if you already have obtained rates in your particular matter. Additionally, not all line items (rows) apply in each case, the definitions columns can guide you in making these determinations. In some instances you must chose among alternate pricing options   For example, some vendors charge hourly work for particular tasks, while others base this on the gigabyte volume, or even a set rate per source (each email account, computer hard drive, mobile device, or social media account, etc.).  See </t>
    </r>
    <r>
      <rPr>
        <b/>
        <i/>
        <sz val="11"/>
        <color theme="1"/>
        <rFont val="Arial"/>
        <family val="2"/>
      </rPr>
      <t>Tab #2: Costs</t>
    </r>
    <r>
      <rPr>
        <sz val="11"/>
        <color theme="1"/>
        <rFont val="Arial"/>
        <family val="2"/>
      </rPr>
      <t xml:space="preserve"> for our examples.</t>
    </r>
  </si>
  <si>
    <r>
      <rPr>
        <b/>
        <i/>
        <u/>
        <sz val="11"/>
        <color rgb="FF0070C0"/>
        <rFont val="Arial"/>
        <family val="2"/>
      </rPr>
      <t>Step 3.</t>
    </r>
    <r>
      <rPr>
        <b/>
        <sz val="11"/>
        <color theme="1"/>
        <rFont val="Arial"/>
        <family val="2"/>
      </rPr>
      <t xml:space="preserve">  </t>
    </r>
    <r>
      <rPr>
        <b/>
        <sz val="11"/>
        <color rgb="FF0070C0"/>
        <rFont val="Arial"/>
        <family val="2"/>
      </rPr>
      <t>Assumptions:</t>
    </r>
    <r>
      <rPr>
        <sz val="11"/>
        <color theme="1"/>
        <rFont val="Arial"/>
        <family val="2"/>
      </rPr>
      <t xml:space="preserve">
Data volumes grow or shrink through the various ediscovery processes.  For instance, data from .zip or .pst files expand when processed, whereas keyword culling and email threading, reduces the total data size. The calculator uses industry averages as default values for these expansion and reduction rates. Obviously, most of the ediscovery work is focused on narrowing the overall data volume to eliminate files not likely to be relevant.  This filtering can be done by keyword searches, date range culling, data type filters, custodian filters, domain analysis, etc.  Other advanced analytics tools can also remove document counts and thereby lower overall project costs.  Any of these assumptions  can be edited if you have reason for doing so. See </t>
    </r>
    <r>
      <rPr>
        <b/>
        <i/>
        <sz val="11"/>
        <color theme="1"/>
        <rFont val="Arial"/>
        <family val="2"/>
      </rPr>
      <t>Tab #3: Assumptions</t>
    </r>
    <r>
      <rPr>
        <sz val="11"/>
        <color theme="1"/>
        <rFont val="Arial"/>
        <family val="2"/>
      </rPr>
      <t xml:space="preserve"> for our examples.</t>
    </r>
  </si>
  <si>
    <r>
      <rPr>
        <b/>
        <i/>
        <u/>
        <sz val="11"/>
        <color rgb="FF0070C0"/>
        <rFont val="Arial"/>
        <family val="2"/>
      </rPr>
      <t>Step 4.</t>
    </r>
    <r>
      <rPr>
        <b/>
        <sz val="11"/>
        <color rgb="FF0070C0"/>
        <rFont val="Arial"/>
        <family val="2"/>
      </rPr>
      <t xml:space="preserve"> </t>
    </r>
    <r>
      <rPr>
        <sz val="11"/>
        <color rgb="FF0070C0"/>
        <rFont val="Arial"/>
        <family val="2"/>
      </rPr>
      <t xml:space="preserve"> </t>
    </r>
    <r>
      <rPr>
        <b/>
        <sz val="11"/>
        <color rgb="FF0070C0"/>
        <rFont val="Arial"/>
        <family val="2"/>
      </rPr>
      <t>Calculations:</t>
    </r>
    <r>
      <rPr>
        <sz val="11"/>
        <color theme="1"/>
        <rFont val="Arial"/>
        <family val="2"/>
      </rPr>
      <t xml:space="preserve">
The </t>
    </r>
    <r>
      <rPr>
        <b/>
        <i/>
        <sz val="11"/>
        <color theme="1"/>
        <rFont val="Arial"/>
        <family val="2"/>
      </rPr>
      <t xml:space="preserve">Calculations Tab (Tab #4) </t>
    </r>
    <r>
      <rPr>
        <sz val="11"/>
        <color theme="1"/>
        <rFont val="Arial"/>
        <family val="2"/>
      </rPr>
      <t xml:space="preserve">uses these inputs to calculate the costs. This tab combines the values and costs from each step (Collection, Processing, Hosting, TAR, Review &amp; Production) and performs the calculations to arrive at estimated total costs. The Calculations include the ability to input estimated overall review cost savings from a TAR 1 review process. </t>
    </r>
  </si>
  <si>
    <t>NOTE: This calculator is designed for a TAR 1 project and does not account for the use of TAR 2/CAL analytics. A complete TAR 2/CAL calculator is in development and the New Framework team hopes to release in the near future.</t>
  </si>
  <si>
    <t>Developed under the George Washington Law School James F. Humphreys Complex Center and is freely available to the public. 
The Center acknowledges Insight Optix for its original thinking that inspired the New Framework and its critical logistical support. </t>
  </si>
  <si>
    <t>TOTAL COLLECTED (GB)</t>
  </si>
  <si>
    <t>TOTAL PRODUCED (GB)</t>
  </si>
  <si>
    <t>DATA SOURCE &amp; STAGE TOTAL</t>
  </si>
  <si>
    <t>Date:</t>
  </si>
  <si>
    <t>[enter date here]</t>
  </si>
  <si>
    <t>Case Name:</t>
  </si>
  <si>
    <t>[enter case name here]</t>
  </si>
  <si>
    <t>Report Type:</t>
  </si>
  <si>
    <t>Discovery Proportionality Model Cost Prediction</t>
  </si>
  <si>
    <t>* this is a sum of each stage and related data source as calculated by the standard review protocols</t>
  </si>
  <si>
    <t>COLLECTION</t>
  </si>
  <si>
    <t>PRE-PROCESSING</t>
  </si>
  <si>
    <t>PROCESSING</t>
  </si>
  <si>
    <t>HOSTING</t>
  </si>
  <si>
    <t>PER SOURCE BREAKDOWN</t>
  </si>
  <si>
    <t>EMAIL</t>
  </si>
  <si>
    <t>FILE SHARE</t>
  </si>
  <si>
    <t>SOCIAL MEDIA/WEBSITE</t>
  </si>
  <si>
    <t>COMPUTER/LAPTOP</t>
  </si>
  <si>
    <t>MOBILE DEVICE</t>
  </si>
  <si>
    <t>OTHER DATA SOURCES</t>
  </si>
  <si>
    <t>REVIEW</t>
  </si>
  <si>
    <t>PRODUCTION</t>
  </si>
  <si>
    <t>CASE MANAGEMENT</t>
  </si>
  <si>
    <t xml:space="preserve">Discovery Proportionality Model
Judicial Detail View </t>
  </si>
  <si>
    <t>STAGE</t>
  </si>
  <si>
    <r>
      <t xml:space="preserve">Hosted email
</t>
    </r>
    <r>
      <rPr>
        <sz val="9"/>
        <color theme="0"/>
        <rFont val="Arial"/>
        <family val="2"/>
      </rPr>
      <t>(5GB)</t>
    </r>
  </si>
  <si>
    <r>
      <t xml:space="preserve">File Share
</t>
    </r>
    <r>
      <rPr>
        <sz val="9"/>
        <color theme="0"/>
        <rFont val="Arial"/>
        <family val="2"/>
      </rPr>
      <t>(4.5GB)</t>
    </r>
  </si>
  <si>
    <r>
      <t xml:space="preserve">Computer/ Laptop
</t>
    </r>
    <r>
      <rPr>
        <sz val="9"/>
        <color theme="0"/>
        <rFont val="Arial"/>
        <family val="2"/>
      </rPr>
      <t>(30 GB)</t>
    </r>
  </si>
  <si>
    <r>
      <t xml:space="preserve">Social Media/ Website 
</t>
    </r>
    <r>
      <rPr>
        <sz val="9"/>
        <color theme="0"/>
        <rFont val="Arial"/>
        <family val="2"/>
      </rPr>
      <t>(0.25 GB)</t>
    </r>
  </si>
  <si>
    <r>
      <t xml:space="preserve">Mobile Device
</t>
    </r>
    <r>
      <rPr>
        <sz val="9"/>
        <color theme="0"/>
        <rFont val="Arial"/>
        <family val="2"/>
      </rPr>
      <t>(8 GB)</t>
    </r>
  </si>
  <si>
    <t>STAGE TOTAL</t>
  </si>
  <si>
    <t>GB Collected</t>
  </si>
  <si>
    <t>GB Produced</t>
  </si>
  <si>
    <t>Collection</t>
  </si>
  <si>
    <t>Pre-Processing</t>
  </si>
  <si>
    <t>Processing</t>
  </si>
  <si>
    <t>Hosting</t>
  </si>
  <si>
    <t>TAR Processing</t>
  </si>
  <si>
    <t>Review</t>
  </si>
  <si>
    <t>Production</t>
  </si>
  <si>
    <t>Management/Support</t>
  </si>
  <si>
    <t xml:space="preserve">DATA SOURCE TOTAL:  </t>
  </si>
  <si>
    <t>Discovery Proportionality Model
Attorney Dashboard</t>
  </si>
  <si>
    <t>Hosted email</t>
  </si>
  <si>
    <t>File Share</t>
  </si>
  <si>
    <t>Social Media/ Website</t>
  </si>
  <si>
    <t>Computer/ Laptop</t>
  </si>
  <si>
    <t>Mobile Device</t>
  </si>
  <si>
    <t>Subtotal: Collection per custodian</t>
  </si>
  <si>
    <t>Subtotal: Collection per data source/device</t>
  </si>
  <si>
    <t>Subtotal: Collection hourly rate</t>
  </si>
  <si>
    <t>Subtotal: Forensic hourly rate</t>
  </si>
  <si>
    <t xml:space="preserve">SUBTOTAL COLLECTION </t>
  </si>
  <si>
    <t>SUBTOTAL ESTIMATED GB</t>
  </si>
  <si>
    <t xml:space="preserve">SUBTOTAL PRE-PROCESSING </t>
  </si>
  <si>
    <t>Subtotal: Ingestion total fee</t>
  </si>
  <si>
    <t>Subtotal: Analytics fee</t>
  </si>
  <si>
    <t>Subtotal: Processing fee</t>
  </si>
  <si>
    <t xml:space="preserve">SUBTOTAL PROCESSING </t>
  </si>
  <si>
    <t>Subtotal: Hosting GB fee</t>
  </si>
  <si>
    <t>Subtotal: User licensing</t>
  </si>
  <si>
    <t xml:space="preserve">SUBTOTAL HOSTING </t>
  </si>
  <si>
    <t>SUBTOTAL TAR</t>
  </si>
  <si>
    <t>Subtotal: 1st Pass review fee</t>
  </si>
  <si>
    <t xml:space="preserve">Subtotal: 2nd Pass review fee </t>
  </si>
  <si>
    <t xml:space="preserve">Subtotal: Privilege review fee </t>
  </si>
  <si>
    <t>Subtotal: Attorney Redaction fee</t>
  </si>
  <si>
    <t>SUBTOTAL REVIEW</t>
  </si>
  <si>
    <t>Subtotal: Production per/GB fee</t>
  </si>
  <si>
    <t>Subtotal: Production hourly rate</t>
  </si>
  <si>
    <t>SUBTOTAL PRODUCTION COST</t>
  </si>
  <si>
    <t>SUBTOTAL MANAGEMENT/ADMIN</t>
  </si>
  <si>
    <t xml:space="preserve">TOTAL:  </t>
  </si>
  <si>
    <t>Discovery Proportionality Model
TAR 1.0 Cost Estimates</t>
  </si>
  <si>
    <t>Stage</t>
  </si>
  <si>
    <t>Task</t>
  </si>
  <si>
    <t>Cost</t>
  </si>
  <si>
    <t>Definition</t>
  </si>
  <si>
    <t>Per custodian collection fee</t>
  </si>
  <si>
    <t>Data collection charged per custodian.</t>
  </si>
  <si>
    <t>Per device collection fee</t>
  </si>
  <si>
    <t>Email: $ 750
File Share: $1150
Social Media: $500
Mobile: $750
Cmptr/Laptop: $600</t>
  </si>
  <si>
    <t>Data collection charged per device.</t>
  </si>
  <si>
    <t>Collection / hourly rate</t>
  </si>
  <si>
    <t>Data collection charged per hour.</t>
  </si>
  <si>
    <t>Pre-processing culling / hourly rate</t>
  </si>
  <si>
    <t xml:space="preserve">Technology, services often by forensic and consulting experts to perform various types of filtering and culling operating technologies and tools as part of the collection process. </t>
  </si>
  <si>
    <t>Ingestion fee/per GB</t>
  </si>
  <si>
    <t xml:space="preserve">Sometimes called the "GB In" rate.  Typically refers to a per GB rate for ingestion of larger data sets for "pre-processing" filtering and culling by, for example, custodian, source, date, and filetype.  Some keyword searching is available pre-processing. </t>
  </si>
  <si>
    <t>Processing (OUT) / hourly rate per GB</t>
  </si>
  <si>
    <t>Sometimes called the "GB out" rate.  Typically refers to a per GB rate for the transfer or "promotion" of culled and filtered data sets for more advanced analytics, further culling, review, and production.</t>
  </si>
  <si>
    <t>Analytics / per GB</t>
  </si>
  <si>
    <t>Per GB rate for some advanced analytics technologies.  This rate is variable and often decreases over time with respect to a given analytics technology solution.</t>
  </si>
  <si>
    <t>Hosting cost per GB/month</t>
  </si>
  <si>
    <t>Per GB fee charged to store processed data in database that often include with advanced analytics, review and production capabilities.</t>
  </si>
  <si>
    <t>User fees (licenses per month)</t>
  </si>
  <si>
    <t>License fee often a monthly fee charged for each person (legal or technology expert) granting access to the processed data with varying "permissions" in the database.</t>
  </si>
  <si>
    <t>TAR</t>
  </si>
  <si>
    <t>TAR Software Fee (per document)</t>
  </si>
  <si>
    <t>Per document fee charged for TAR processing. (use only if charged per document)</t>
  </si>
  <si>
    <t>TAR Software Fee (per GB)</t>
  </si>
  <si>
    <t>Per GB fee charged for TAR processing. (use only if charged per GB)</t>
  </si>
  <si>
    <t>Vendor:  TAR PM/Consultant Hourly Rate</t>
  </si>
  <si>
    <t>Hourly fee charged for TAR consultant.</t>
  </si>
  <si>
    <t>TAR Attorney Hourly Rate</t>
  </si>
  <si>
    <t>Hourly fee charged for TAR attorney review.</t>
  </si>
  <si>
    <t>1st Pass Attorney review / hourly rate (Associate or Managed review)</t>
  </si>
  <si>
    <t>Hourly fee charged for first pass document reviewers often performed by contract attorneys.</t>
  </si>
  <si>
    <t>2nd Pass Senior Attorney review / hourly rate</t>
  </si>
  <si>
    <t xml:space="preserve">Hourly fee charged by second pass reviewers often law firm attorneys responsible for final coding decisions, for example, responsiveness, privilege, confidentiality and production decisions. </t>
  </si>
  <si>
    <t>Outside Counsel  / hourly rate</t>
  </si>
  <si>
    <t>Hourly fee charged for outside counsel attorneys</t>
  </si>
  <si>
    <t>Privilege Attorney review / hourly rate</t>
  </si>
  <si>
    <t>Hourly fee charged by second pass reviewers often law firm attorneys responsible for final coding decisions, for example, responsiveness, privilege, confidentiality and production decisions.</t>
  </si>
  <si>
    <t>Production per GB rate</t>
  </si>
  <si>
    <t>Per GB fee charged for operating technology that identifies identifies and formats documents directed by counsel for production.</t>
  </si>
  <si>
    <t>Production / hourly rate</t>
  </si>
  <si>
    <t>Hourly fee charged for operating technology that identifies identifies and formats documents directed by counsel for production.</t>
  </si>
  <si>
    <t>Analytics</t>
  </si>
  <si>
    <t>Cost for Analytics setup / hourly rate</t>
  </si>
  <si>
    <t>One-time fee for setup of advanced analytics tools that may not be included with other technologies or platforms, for example, machine translation, advanced audio transcription, other advanced analytics tools.</t>
  </si>
  <si>
    <t>Case Management/Admin</t>
  </si>
  <si>
    <t>Tech Support / hourly rate</t>
  </si>
  <si>
    <t>Hourly fee charged for managing the database and performing certain technology related services like keyword searches and analytics commands, as well as production.</t>
  </si>
  <si>
    <t>Project Management / hourly rate</t>
  </si>
  <si>
    <t>Hourly fee charged for managing the team of document reviewers and technology experts.</t>
  </si>
  <si>
    <t>Forensics cost / hourly rate</t>
  </si>
  <si>
    <t>Hourly fee charged for forensic experts used in the collection of data.</t>
  </si>
  <si>
    <t xml:space="preserve">**Cost values vary depending on multiple factors including complexity of the service and the demands of the case like time sensitivity, risk exposure, experience-level and geographic location of firm and contract resources (e.g. document reviewers), robustness and sophistication of the tools, underlying cost to provider like software licenses, "user seats," and hardware, data storage, and computing/processing costs.  </t>
  </si>
  <si>
    <t>Discovery Proportionality Model
TAR 1.0 Assumptions</t>
  </si>
  <si>
    <t>Task  Assumption</t>
  </si>
  <si>
    <t>Value</t>
  </si>
  <si>
    <t>Mobile and other less common data source types not included.</t>
  </si>
  <si>
    <t>These types of documents are not conducive to TAR type analysis and so are not submitted to the TAR process and are handled in normal document review workflow.</t>
  </si>
  <si>
    <t>% of TAR Exclusions of total</t>
  </si>
  <si>
    <t>Documents with incompatible text for TAR software (images, audio/video, system files, etc.)</t>
  </si>
  <si>
    <t>TAR Vendor/Consultant Hours</t>
  </si>
  <si>
    <t>Estimated consultant hours for TAR setup and execution.</t>
  </si>
  <si>
    <t>Estimated Richness/Prevalence</t>
  </si>
  <si>
    <t>Estimated percent of documents in TAR that will be responsive. TAR 1.0 is not typically used in projects under 3% richness or over 60% richness. The richness is also dependent upon the level of keyword searching conducted during processing. If no keywording filtering is conducted, the richness rate will be lower.</t>
  </si>
  <si>
    <t>Recall Target</t>
  </si>
  <si>
    <t>Percent of responsive documents in TAR that should be identified as part of the review / production population, estimated using the Control Set.  Typical TAR reviews target 70-85% recall.</t>
  </si>
  <si>
    <t>Estimated Precision</t>
  </si>
  <si>
    <t xml:space="preserve">Percent of documents identified by TAR as responsive that are in-fact responsive.  Most TAR 1.0 projects with industry standard recall targets and at least 10% richness achieve 50% - 80% precision.  </t>
  </si>
  <si>
    <t>Estimated Control Set Review Document Count</t>
  </si>
  <si>
    <t xml:space="preserve">384 responsive documents is sufficient to estimate recall with a 5% margin of error at a 95% confidence level for any recall target (a common industry standard).  The formula will supply a count where a random sample would contain 384 responsive documents using the rate entered for Estimated Richness/Prevalence, however, the sample is set to not exceed 10,000. </t>
  </si>
  <si>
    <t>Estimated TAR Training Review Document Count</t>
  </si>
  <si>
    <t xml:space="preserve">TAR Training Set. This count will vary for each data set  due to richness, simplicity of the distinction between relevant and not relevant documents, and the recall and precision targets.  A good rule of thumb would be to assume at least 1000 training documents plus 2% of the TAR population, with a maximum of 10,000 training documents.  </t>
  </si>
  <si>
    <t>Estimated Elusion Sample Review Document Count</t>
  </si>
  <si>
    <t>Enter amount of documents to be sampled from the TAR Non-Responsive population after the model completes.  This sample is not always reviewed, but it is common to review a sample that is large enough to estimate the percent of documents that are responsive with the same confidence level / margin of error as the recall estimate.</t>
  </si>
  <si>
    <t>Enter Cost: Hourly rate for Associate or Managed review attorney performing review of Control Set, Training Review, and/or Elusion Sample.  Sometimes referred to as Subject Matter Experts.</t>
  </si>
  <si>
    <t>TAR Attorney Documents / Hour Review Rate</t>
  </si>
  <si>
    <t>Enter Assumption:  Attorney document review rate for Associate or Managed Review Attorney</t>
  </si>
  <si>
    <t>TAR Responsive Document Families Expansion Rate</t>
  </si>
  <si>
    <t>Enter Assumption:  Rate of expansion after families added to TAR Responsive population.  Suggested Range 1.2 - 1.5X. Variable depdning on richness - at higher richness, the lower this rate may be.</t>
  </si>
  <si>
    <t>% of TAR documents submitted to Privilege Review</t>
  </si>
  <si>
    <t>Enter Assumption: % of TAR results submitted to Privilege review</t>
  </si>
  <si>
    <t>% of TAR Exclusions not added to TAR Results as a Family member</t>
  </si>
  <si>
    <t>% of TAR Exclusions (incompatible documents) that were not added to the overall TAR Results as a family member. Variable depending on data sources and richness levels.</t>
  </si>
  <si>
    <t>Inventory of Custodians &amp; ESI Repositories
By Data Source Type</t>
  </si>
  <si>
    <t>Hosted Email</t>
  </si>
  <si>
    <t>Social Media</t>
  </si>
  <si>
    <t>Computers/laptop</t>
  </si>
  <si>
    <t>Other Data Types</t>
  </si>
  <si>
    <t>Custodian Title/Type</t>
  </si>
  <si>
    <t>Department/Group</t>
  </si>
  <si>
    <t>Custodians</t>
  </si>
  <si>
    <t xml:space="preserve"> GBs per</t>
  </si>
  <si>
    <t>GBs - total</t>
  </si>
  <si>
    <t>Total GBs</t>
  </si>
  <si>
    <t>TOTAL GB</t>
  </si>
  <si>
    <t>TOTAL DATA REPOSITORIES</t>
  </si>
  <si>
    <t>Discovery Proportionality Model
TAR 1.0 Cost Prediction Calculator</t>
  </si>
  <si>
    <t>Color coding</t>
  </si>
  <si>
    <r>
      <t>Collection costs are typically based on a single collection method, either by custodian, by device or hourly. In the calculations below,</t>
    </r>
    <r>
      <rPr>
        <b/>
        <sz val="11"/>
        <color rgb="FFFF0000"/>
        <rFont val="Calibri"/>
        <family val="2"/>
        <scheme val="minor"/>
      </rPr>
      <t xml:space="preserve"> add values for only the method being utilized for your project.</t>
    </r>
  </si>
  <si>
    <t>Data Sources</t>
  </si>
  <si>
    <t>User Aids</t>
  </si>
  <si>
    <t>Yellow - Unit input</t>
  </si>
  <si>
    <t>Orange - Assumption input</t>
  </si>
  <si>
    <t>Green - Cost input</t>
  </si>
  <si>
    <t>Other Data Sources</t>
  </si>
  <si>
    <t>Combined Data Sources</t>
  </si>
  <si>
    <t>ID</t>
  </si>
  <si>
    <t>Calculation</t>
  </si>
  <si>
    <t>Blue - Calculation</t>
  </si>
  <si>
    <t xml:space="preserve"># custodians </t>
  </si>
  <si>
    <t>Enter: If being charged by custodian, enter the number of custodians to be collected</t>
  </si>
  <si>
    <t>[a1]</t>
  </si>
  <si>
    <t>Collection: per custodian fee</t>
  </si>
  <si>
    <t>Enter Cost: per custodian collection fee</t>
  </si>
  <si>
    <t>[a2]</t>
  </si>
  <si>
    <t>Subtotal Collection per custodian</t>
  </si>
  <si>
    <t>Calculation: Subtotal of collection costs per custodian</t>
  </si>
  <si>
    <t>[A]</t>
  </si>
  <si>
    <t>[a1] x [a2]</t>
  </si>
  <si>
    <t>Number of data sources (device/server)</t>
  </si>
  <si>
    <t>Enter: If being charged a per data source/device fee, enter number of devices to be collected</t>
  </si>
  <si>
    <t>[b1]</t>
  </si>
  <si>
    <t>Collection: per device/repository fee</t>
  </si>
  <si>
    <t>Enter Cost: per data source/device fee</t>
  </si>
  <si>
    <t>[b2]</t>
  </si>
  <si>
    <t>Subtotal Collection cost per data source/device/server</t>
  </si>
  <si>
    <t>Calculation: Subtotal of collection costs per device</t>
  </si>
  <si>
    <t>[B]</t>
  </si>
  <si>
    <t>[b1] x [b2]</t>
  </si>
  <si>
    <t>Collection: estimated hours</t>
  </si>
  <si>
    <t>Enter: If being charged an hourly rate, enter estimated number of hours</t>
  </si>
  <si>
    <t>[c1]</t>
  </si>
  <si>
    <t>Collection: hourly rate</t>
  </si>
  <si>
    <t>Enter Cost: hourly rate for collection</t>
  </si>
  <si>
    <t>[c2]</t>
  </si>
  <si>
    <t>Subtotal Collection hourly rate</t>
  </si>
  <si>
    <t xml:space="preserve">Calculation: Subtotal of hourly collection costs </t>
  </si>
  <si>
    <t>[C]</t>
  </si>
  <si>
    <t>[c1] x [c2]</t>
  </si>
  <si>
    <t>Forensics: estimated hours</t>
  </si>
  <si>
    <t>Enter: If being charged a forensics fee, enter estimated number of hours</t>
  </si>
  <si>
    <t>[d1]</t>
  </si>
  <si>
    <t>Forensics: hourly rate</t>
  </si>
  <si>
    <t>Enter Cost: hourly rate for Forensics expertise</t>
  </si>
  <si>
    <t>[d2]</t>
  </si>
  <si>
    <t>Subtotal Forensic hourly rate</t>
  </si>
  <si>
    <t xml:space="preserve">Calculation: Subtotal of forensic collection costs </t>
  </si>
  <si>
    <t>[D]</t>
  </si>
  <si>
    <t>[d1] x [d2]</t>
  </si>
  <si>
    <t>Cost for collection</t>
  </si>
  <si>
    <t>[E]</t>
  </si>
  <si>
    <t>[A] + [B] + [C] + [D]</t>
  </si>
  <si>
    <t>GB 
 ESTIMATION</t>
  </si>
  <si>
    <t xml:space="preserve">Estimated RAW GB </t>
  </si>
  <si>
    <t>Calculation: total GB estimated from collection (from Tab 1: Data Source Estimates)</t>
  </si>
  <si>
    <t>[F]</t>
  </si>
  <si>
    <t>[TAB 1. TOTAL]</t>
  </si>
  <si>
    <t xml:space="preserve"># Noncustodial data sources </t>
  </si>
  <si>
    <t>Enter: # of noncustodial data sources</t>
  </si>
  <si>
    <t>[g1]</t>
  </si>
  <si>
    <t>GB per noncustodial source</t>
  </si>
  <si>
    <t>Enter: GB per noncustodial data source</t>
  </si>
  <si>
    <t>[g2]</t>
  </si>
  <si>
    <t>Subtotal noncustodial data sources</t>
  </si>
  <si>
    <t>Calculation: Subtotal of line 19 * line 20</t>
  </si>
  <si>
    <t>[G]</t>
  </si>
  <si>
    <t>[g1] x [g2]</t>
  </si>
  <si>
    <t>Calculation: GB to be delivered for processing</t>
  </si>
  <si>
    <t>[H]</t>
  </si>
  <si>
    <t>[F] + [G]</t>
  </si>
  <si>
    <t>Data may go through a pre-processing phase during collection. Use this section to calculate potential volume reductions from preprocessing.</t>
  </si>
  <si>
    <t>TOTAL ESTIMATED GB FOR PRE-PROCESSING</t>
  </si>
  <si>
    <t>Enter: Total GB for processing (Line 22)</t>
  </si>
  <si>
    <t>Pre-processing culling: reduction rate</t>
  </si>
  <si>
    <t>Enter Assumption: Pre-processing culling reduction rate</t>
  </si>
  <si>
    <t>[j1]</t>
  </si>
  <si>
    <t xml:space="preserve">Estimated GB after culling/filtering </t>
  </si>
  <si>
    <t>Calculation: GB after culling</t>
  </si>
  <si>
    <t>[J]</t>
  </si>
  <si>
    <t>( 1 - [j1] ) x [H]</t>
  </si>
  <si>
    <t>Pre-processing culling: estimated hours</t>
  </si>
  <si>
    <t>Enter Assumption: Pre-processing culling hours</t>
  </si>
  <si>
    <t>[k1]</t>
  </si>
  <si>
    <t xml:space="preserve">Pre-processing culling: hourly rate </t>
  </si>
  <si>
    <t xml:space="preserve">Enter Cost: Pre-processing culling hourly rate </t>
  </si>
  <si>
    <t>[k2]</t>
  </si>
  <si>
    <t>Calculation: Cost for pre-processing</t>
  </si>
  <si>
    <t>[K]</t>
  </si>
  <si>
    <t>[k1] x [k2]</t>
  </si>
  <si>
    <t xml:space="preserve"> PROCESSSING</t>
  </si>
  <si>
    <t>Processing costs are based on estimated GB collected or output from Pre-processing.</t>
  </si>
  <si>
    <t xml:space="preserve">Data Expansion </t>
  </si>
  <si>
    <t xml:space="preserve">Enter Assumption: Data expansion rate for PST, zip, etc. files </t>
  </si>
  <si>
    <t>[l1]</t>
  </si>
  <si>
    <t>GB after expansion</t>
  </si>
  <si>
    <t>Calculation: GB after data expansion</t>
  </si>
  <si>
    <t>[L]</t>
  </si>
  <si>
    <t>[J] x [l1]</t>
  </si>
  <si>
    <t>Enter Cost: Ingestion fee/GB</t>
  </si>
  <si>
    <t>[m1]</t>
  </si>
  <si>
    <t>Calculation: Cost for ingestion based on estimated GB and Ingestion fee (line 34 * line 35)</t>
  </si>
  <si>
    <t>[M]</t>
  </si>
  <si>
    <t>[L] x [m1]</t>
  </si>
  <si>
    <t xml:space="preserve">Culling: Standard (dedupe, deNist) </t>
  </si>
  <si>
    <t>Enter Assumption: Culling reduction rate for deNist, deDupe</t>
  </si>
  <si>
    <t>[n1]</t>
  </si>
  <si>
    <t>GB after Culling</t>
  </si>
  <si>
    <t>Calculation: GB after Culling</t>
  </si>
  <si>
    <t>[N]</t>
  </si>
  <si>
    <t>( 1 - [n1] ) x [L]</t>
  </si>
  <si>
    <t>Filtering: Keyword, file type, date range, etc.</t>
  </si>
  <si>
    <t>Enter Assumption: Filtering reduction rate for keyword, date, etc. filtering</t>
  </si>
  <si>
    <t>[o1]</t>
  </si>
  <si>
    <t>GB after filtering</t>
  </si>
  <si>
    <t>Calculation: GB after Filtering</t>
  </si>
  <si>
    <t>[O]</t>
  </si>
  <si>
    <t>( 1 - [o1] ) x [N]</t>
  </si>
  <si>
    <t>Analytics  reduction</t>
  </si>
  <si>
    <t>Enter Assumption: Analytics reduction for threading, domain analysis, etc.</t>
  </si>
  <si>
    <t>[p1]</t>
  </si>
  <si>
    <t>GB after Analytics</t>
  </si>
  <si>
    <t>Calculation: GB after Analytics</t>
  </si>
  <si>
    <t>[P]</t>
  </si>
  <si>
    <t>( 1 - [p1] ) x [O]</t>
  </si>
  <si>
    <t>Analytics per GB</t>
  </si>
  <si>
    <t>Enter Cost: Cost for analytics: threading, domain analysis, etc.</t>
  </si>
  <si>
    <t>[q1]</t>
  </si>
  <si>
    <t>Calculation: Analytics cost</t>
  </si>
  <si>
    <t>[Q]</t>
  </si>
  <si>
    <t>[P] x [O]</t>
  </si>
  <si>
    <t>Total GB output for review after filters</t>
  </si>
  <si>
    <t>Calculation: GB total after Culling, Filtering, Analytics</t>
  </si>
  <si>
    <t>Processing rate per GB</t>
  </si>
  <si>
    <t>Enter Cost:  Processing fee/GB</t>
  </si>
  <si>
    <t>[r1]</t>
  </si>
  <si>
    <t xml:space="preserve">Calculation: Cost for Processing </t>
  </si>
  <si>
    <t>[R]</t>
  </si>
  <si>
    <t>[P] x [r1]</t>
  </si>
  <si>
    <t>Calculation: Cost for Ingestion, Processing &amp; Analytics</t>
  </si>
  <si>
    <t>[S]</t>
  </si>
  <si>
    <t>[N] + [P] + [R]</t>
  </si>
  <si>
    <t>Hosting costs include term of the project, volume of GB to be hosted, user or license fees and tech support.</t>
  </si>
  <si>
    <t>Hosting time frame (in months)</t>
  </si>
  <si>
    <t>Enter: Number of months the project is expected to require hosting</t>
  </si>
  <si>
    <t>[t1]</t>
  </si>
  <si>
    <t>GB to be hosted</t>
  </si>
  <si>
    <t>Calculation: GB to be hosted (line 47)</t>
  </si>
  <si>
    <t>Hosting cost per GB</t>
  </si>
  <si>
    <t>Enter Cost: Monthly hosting fee based on GB</t>
  </si>
  <si>
    <t>[t2]</t>
  </si>
  <si>
    <t>Subtotal hosting GB fee</t>
  </si>
  <si>
    <t>Calculation: Cost of hosting for length of engagement</t>
  </si>
  <si>
    <t>[T]</t>
  </si>
  <si>
    <t>[t1] x [P] x [t2]</t>
  </si>
  <si>
    <t># of users</t>
  </si>
  <si>
    <t>Enter: Number of users requiring access/license to review platform</t>
  </si>
  <si>
    <t>[u1]</t>
  </si>
  <si>
    <t xml:space="preserve">User fees </t>
  </si>
  <si>
    <t>Enter Cost: User fee for licenses/month</t>
  </si>
  <si>
    <t>[u2]</t>
  </si>
  <si>
    <t>Subtotal user fees</t>
  </si>
  <si>
    <t>Calculation: Subtotal of user licensing fees</t>
  </si>
  <si>
    <t>[U]</t>
  </si>
  <si>
    <t>[u1] x [u2]</t>
  </si>
  <si>
    <t>Average per data source</t>
  </si>
  <si>
    <t>Calculation: User fees divided across all data source types</t>
  </si>
  <si>
    <t>Calculation: Cost for Hosting</t>
  </si>
  <si>
    <t>[V]</t>
  </si>
  <si>
    <t>[T] + [U]</t>
  </si>
  <si>
    <t>DOCUMENT
 ESTIMATE</t>
  </si>
  <si>
    <t>Document estimation calculates the estimated number of documents resulting from Processing, culling and filtering. These documents are submitted to TAR/CAL or to 1st Pass review.</t>
  </si>
  <si>
    <t>GB : document ratio</t>
  </si>
  <si>
    <t>Enter Assumption: GB : Document ratio to determine document count for review</t>
  </si>
  <si>
    <t>[W]</t>
  </si>
  <si>
    <t>GB from Processing</t>
  </si>
  <si>
    <t>Calculation: GB from Processing (line 45)</t>
  </si>
  <si>
    <t xml:space="preserve">[P] </t>
  </si>
  <si>
    <t>Document count for review</t>
  </si>
  <si>
    <t>Calculation: GB:Document ratio * GB to be hosted (line 62 * line 63)</t>
  </si>
  <si>
    <t>[X]</t>
  </si>
  <si>
    <t>[W] x [P]</t>
  </si>
  <si>
    <t>TAR 1.0</t>
  </si>
  <si>
    <t>Total TAR Document Count (excluding Social Media, Mobile and Other Data source types not typically included in TAR)</t>
  </si>
  <si>
    <t>Calculation: Data Sources submitted to TAR</t>
  </si>
  <si>
    <t>[Y]</t>
  </si>
  <si>
    <t>Percentage of total TAR documents by data source</t>
  </si>
  <si>
    <t>Calculation: percentage of TAR docs by datasource</t>
  </si>
  <si>
    <t>[Z]</t>
  </si>
  <si>
    <t>[Y]/[X]</t>
  </si>
  <si>
    <t>% Assumption for TAR Exclusions (incompatible docs)</t>
  </si>
  <si>
    <t>DURING TAR PROCESS, LINE ITEM BREAKDOWN IS ONLY AVAILABLE FOR 
COMBINED DATA SOURCES.</t>
  </si>
  <si>
    <t>Enter Assumption: Documents with incompatible text for TAR software (images, audio/video, system files, etc.)</t>
  </si>
  <si>
    <t>[v1]</t>
  </si>
  <si>
    <t>TAR Exclusions (incompatible)</t>
  </si>
  <si>
    <t>Calculation: Total Document Count of Incompatible Docs to be sent to Review</t>
  </si>
  <si>
    <t>[AA]</t>
  </si>
  <si>
    <t>[Y]*[v1]</t>
  </si>
  <si>
    <t>Final Document Count for TAR</t>
  </si>
  <si>
    <t>Calculation = adjusted TAR document count after removale of incompatible docs</t>
  </si>
  <si>
    <t>[AB]</t>
  </si>
  <si>
    <t>[Y] (1-[v1])</t>
  </si>
  <si>
    <t>GB for TAR</t>
  </si>
  <si>
    <t>Calculation = GB per data source</t>
  </si>
  <si>
    <t>[AC]</t>
  </si>
  <si>
    <t>[P] * (1-[v1])</t>
  </si>
  <si>
    <t>Enter cost: Enter 0 if vendor charges per GB</t>
  </si>
  <si>
    <t>[w1]</t>
  </si>
  <si>
    <t>Enter cost: Enter 0 if vendor charges per Document</t>
  </si>
  <si>
    <t>[w2]</t>
  </si>
  <si>
    <t>[w3]</t>
  </si>
  <si>
    <t>Vendor:  Estimated PM/Consultant Hours</t>
  </si>
  <si>
    <t>Estimated number of hours for vendor/consultant Project Management</t>
  </si>
  <si>
    <t xml:space="preserve">[w4] </t>
  </si>
  <si>
    <t>Subtotal Vendor TAR fees</t>
  </si>
  <si>
    <t>Calculation = TAR Software Fees + TAR Consultant/PM Fees</t>
  </si>
  <si>
    <t>[AD]</t>
  </si>
  <si>
    <t>IF ([w2]=0, [AB]*[w1]) : ([AC]*[w2]) + ([w3 * w4])</t>
  </si>
  <si>
    <t xml:space="preserve">Enter Assumption:  percent of documents in TAR that will be responsive. </t>
  </si>
  <si>
    <t>[x1]</t>
  </si>
  <si>
    <t>Enter Assumption: percent of responsive documents in TAR that should be identified as part of the review / production population.</t>
  </si>
  <si>
    <t>[x2]</t>
  </si>
  <si>
    <t xml:space="preserve">Enter Assumption:  percent of documents identified by TAR as responsive that are in-fact responsive.    </t>
  </si>
  <si>
    <t>[x3]</t>
  </si>
  <si>
    <t>Estimated Control Set sample size</t>
  </si>
  <si>
    <t>Enter Assumption: Control set sample size</t>
  </si>
  <si>
    <t>[x4]</t>
  </si>
  <si>
    <t>Calculation = TAR Training Control Set</t>
  </si>
  <si>
    <t>[AE]</t>
  </si>
  <si>
    <t>IF((([x4]*((1-[x1])/[x1])))&lt;=10000,([x4]*([x4]*((1-[x1])/[x1]))),10000</t>
  </si>
  <si>
    <t>Enter Assumption: Tar Training Review Set</t>
  </si>
  <si>
    <t>(y1)</t>
  </si>
  <si>
    <t>Enter TAR Elusion document set count</t>
  </si>
  <si>
    <t>(y2)</t>
  </si>
  <si>
    <t xml:space="preserve">Enter Cost: Hourly rate for Associate or Managed review attorney performing review of Control Set, Training Review, and/or Elusion Sample.  </t>
  </si>
  <si>
    <t>(y3)</t>
  </si>
  <si>
    <t>(y4)</t>
  </si>
  <si>
    <t>Subtotal TAR Attorney Fees</t>
  </si>
  <si>
    <t>[AF]</t>
  </si>
  <si>
    <t>[y3]*(SUM([AE]:[y2])/[y4])</t>
  </si>
  <si>
    <t>SUBTOTAL TAR 1.0</t>
  </si>
  <si>
    <t>[AG]</t>
  </si>
  <si>
    <t>SUM ([AD],[AF])</t>
  </si>
  <si>
    <t>TAR Results Document Count by data source</t>
  </si>
  <si>
    <t>Calculation: TAR Responsive Results Document Count estimate by data source</t>
  </si>
  <si>
    <t>[AH]</t>
  </si>
  <si>
    <t>([AB]*[x1]*[x2])/[x3]</t>
  </si>
  <si>
    <t xml:space="preserve">Enter Assumption:  Rate of expansion after families added to TAR Responsive population  </t>
  </si>
  <si>
    <t>[z1]</t>
  </si>
  <si>
    <t>TAR Responsive Document Count + Families</t>
  </si>
  <si>
    <t>Calculation = TAR results submitted for Privilege Review</t>
  </si>
  <si>
    <t>[AI]</t>
  </si>
  <si>
    <t>% TAR documents submitted for Privilege Review</t>
  </si>
  <si>
    <t>[z2]</t>
  </si>
  <si>
    <t>TAR Documents submitted to Privilege Review</t>
  </si>
  <si>
    <t>Calculation = Document count of TAR results for Privilege (submitted to Priv review)</t>
  </si>
  <si>
    <t>[AJ]</t>
  </si>
  <si>
    <t>[AI] * [z2]</t>
  </si>
  <si>
    <t>TAR Documents for Production</t>
  </si>
  <si>
    <t>Calculation = TAR documents directly to Production (submitted to Production)</t>
  </si>
  <si>
    <t>[AK]</t>
  </si>
  <si>
    <t>[AI] * (1- [z2])</t>
  </si>
  <si>
    <t>% TAR exclusions not in TAR Responsive family</t>
  </si>
  <si>
    <t>Enter Assumption: TAR exclusions not included as a family member in TAR results</t>
  </si>
  <si>
    <t>[z3]</t>
  </si>
  <si>
    <t>TAR Exclusions requiring responsiveness review by data source</t>
  </si>
  <si>
    <t>Calculation = TAR exclusions non-family members (submitted for 1st Pass)</t>
  </si>
  <si>
    <t>[AL]</t>
  </si>
  <si>
    <t>[AA] * [z3]</t>
  </si>
  <si>
    <t>Mobile and Other data sources not submitted to TAR</t>
  </si>
  <si>
    <t>Social, Mobile and Other data sources not submitted to TAR (submitted to 1st Pass)</t>
  </si>
  <si>
    <t>[AM]</t>
  </si>
  <si>
    <t>SUM [AM]</t>
  </si>
  <si>
    <t>Documents submitted for Responsiveness review</t>
  </si>
  <si>
    <t>Calculation: Documents for 1st Pass</t>
  </si>
  <si>
    <t>[AN]</t>
  </si>
  <si>
    <t>SUM [AN]</t>
  </si>
  <si>
    <t>1st Pass Attorney review rate(docs/hour)</t>
  </si>
  <si>
    <t>Enter Assumption: Attorney document review rate for Associate or Managed Review Attorney</t>
  </si>
  <si>
    <t>[aa1]</t>
  </si>
  <si>
    <t>1st Pass Attorney review / hourly rate (Managed review)</t>
  </si>
  <si>
    <t>Enter Cost: Hourly rate for Associate or Managed review attorney</t>
  </si>
  <si>
    <t>[aa2]</t>
  </si>
  <si>
    <t>Subtotal 1st Pass review fee</t>
  </si>
  <si>
    <t>Calculation: Subtotal 1st Pass review</t>
  </si>
  <si>
    <t>[AO]</t>
  </si>
  <si>
    <t>([AN] / [aa1]) x [aa2]</t>
  </si>
  <si>
    <t xml:space="preserve">1st Pass % Responsive rate </t>
  </si>
  <si>
    <t>Enter Assumption: Rate of responsiveness in 1st Pass.</t>
  </si>
  <si>
    <t>[aa3]</t>
  </si>
  <si>
    <t xml:space="preserve">1st Pass document output </t>
  </si>
  <si>
    <t>Calculation: Volume of responsive documents resulting from 1st Pass and submitted to 2nd Pass</t>
  </si>
  <si>
    <t>[AP]</t>
  </si>
  <si>
    <t>[AN] x [aa3]</t>
  </si>
  <si>
    <t># of  documents reviewed in 2nd Pass</t>
  </si>
  <si>
    <t xml:space="preserve">Enter: Estimated NUMBER of 2nd Pass documents to be reviewed (This might be a mix of 1st Pass documents and QC review.) </t>
  </si>
  <si>
    <t>[ab1]</t>
  </si>
  <si>
    <t>2nd Pass Attorney review rate (docs/hour)</t>
  </si>
  <si>
    <t>Enter Assumption: Attorney document review rate for Senior level Attorney</t>
  </si>
  <si>
    <t>[ab2]</t>
  </si>
  <si>
    <t xml:space="preserve">2nd Pass Attorney review / hourly rate  </t>
  </si>
  <si>
    <t>Enter Cost: Hourly rate for Senior Attorney, may be blended rate.</t>
  </si>
  <si>
    <t>[ab3]</t>
  </si>
  <si>
    <t xml:space="preserve">Subtotal 2nd Pass review fee </t>
  </si>
  <si>
    <t>Calculation: Subtotal 2nd Pass review</t>
  </si>
  <si>
    <t>[AQ]</t>
  </si>
  <si>
    <t>([ab1] / [ab2]) * [ab3]</t>
  </si>
  <si>
    <t>2nd Pass % responsive rate</t>
  </si>
  <si>
    <t>Enter Assumption: Rate of responsiveness in 2nd Pass</t>
  </si>
  <si>
    <t>[ac1]</t>
  </si>
  <si>
    <t>2nd Pass document output (for Production)</t>
  </si>
  <si>
    <t>Calculation: Volume of responsive documents output from 2nd Pass to submit for Production</t>
  </si>
  <si>
    <t>[AR]</t>
  </si>
  <si>
    <t>[ab1] * [ac1]</t>
  </si>
  <si>
    <t>Privilege/Confidentiality/Privacy % rate from 2nd pass</t>
  </si>
  <si>
    <t>Enter Assumption: Rate of Privilege documents found in 2nd Pass</t>
  </si>
  <si>
    <t>[ad1]</t>
  </si>
  <si>
    <t>Privilege/Confidentiality/Privacy Review Documents</t>
  </si>
  <si>
    <t>Calculation: Volume of privilege documents identified in 2nd Pass</t>
  </si>
  <si>
    <t>[AS]</t>
  </si>
  <si>
    <t>([AR] * [ad1]) + [AJ]</t>
  </si>
  <si>
    <t>Privilege/Confidentiality/Privacy Attorney review rate (docs/hour)</t>
  </si>
  <si>
    <t>[ae1]</t>
  </si>
  <si>
    <t xml:space="preserve">Privilege/Confidentiality/Privacy Attorney review / hourly rate </t>
  </si>
  <si>
    <t>[ae2]</t>
  </si>
  <si>
    <t xml:space="preserve">Subtotal Privilege/Confidentiality/Privacy review fee </t>
  </si>
  <si>
    <t>Calculation: Subtotal Privilege Review</t>
  </si>
  <si>
    <t>[AT]</t>
  </si>
  <si>
    <t>([AS] /[ae1]) * [ae2]</t>
  </si>
  <si>
    <t>Redaction rate</t>
  </si>
  <si>
    <t>Enter Assumption: % of Privilege documents identified as requiring Redaction</t>
  </si>
  <si>
    <t>[af1]</t>
  </si>
  <si>
    <t>Redaction documents</t>
  </si>
  <si>
    <t>Calculation: # of documents requiring redaction</t>
  </si>
  <si>
    <t>[AU]</t>
  </si>
  <si>
    <t>[AS] * [af1]</t>
  </si>
  <si>
    <t xml:space="preserve">Attorney redaction rate (docs/hour) </t>
  </si>
  <si>
    <t>[ag1]</t>
  </si>
  <si>
    <t xml:space="preserve">Attorney / hourly rate </t>
  </si>
  <si>
    <t>[ag2]</t>
  </si>
  <si>
    <t>Subtotal Attorney Redaction fee</t>
  </si>
  <si>
    <t>Calculation: Subtotal Redactions</t>
  </si>
  <si>
    <t>[AV]</t>
  </si>
  <si>
    <t>([AU]/[ag]1) * [ag2]</t>
  </si>
  <si>
    <t>Calculation: Cost of Review</t>
  </si>
  <si>
    <t>[AW]</t>
  </si>
  <si>
    <t>([AO] + [AQ] + [AT] + [AV])</t>
  </si>
  <si>
    <t>Production involves the physical production of responsive documents to opposing parties.</t>
  </si>
  <si>
    <t>Documents to be produced</t>
  </si>
  <si>
    <t>Calculation: Documents to be produced (2nd Pass output minus Privilege documents plus redacted and TAR output)</t>
  </si>
  <si>
    <t>[AX]</t>
  </si>
  <si>
    <t>([AR] * (1- [ad1])) + [AK]</t>
  </si>
  <si>
    <t>GB to be produced</t>
  </si>
  <si>
    <t>Calculation: GB : document ratio (line 62)</t>
  </si>
  <si>
    <t>[AY]</t>
  </si>
  <si>
    <t>[AX] / [W]</t>
  </si>
  <si>
    <t>Production cost per GB</t>
  </si>
  <si>
    <t>Enter Cost: Production fee per GB</t>
  </si>
  <si>
    <t>[ah1]</t>
  </si>
  <si>
    <t>Subtotal Production per/GB fee</t>
  </si>
  <si>
    <t>Calculation: Subtotal production fee (line 95 X line 94)</t>
  </si>
  <si>
    <t>[AZ]</t>
  </si>
  <si>
    <t>[AY] * [ah1]</t>
  </si>
  <si>
    <t xml:space="preserve">Production hours </t>
  </si>
  <si>
    <t>Enter: Estimated # hours for production</t>
  </si>
  <si>
    <t>[ai1]</t>
  </si>
  <si>
    <t xml:space="preserve">Production / hourly rate </t>
  </si>
  <si>
    <t>Enter Cost: Hourly rate for production</t>
  </si>
  <si>
    <t>[ai2]</t>
  </si>
  <si>
    <t>Subtotal Production hourly fee</t>
  </si>
  <si>
    <t>Calculation: Subtotal production hourly fee</t>
  </si>
  <si>
    <t>[BA]</t>
  </si>
  <si>
    <t>[ai1] * [ai2]</t>
  </si>
  <si>
    <t>Calculation: Cost of Production</t>
  </si>
  <si>
    <t>[BB]</t>
  </si>
  <si>
    <t>[AZ] + [BA]</t>
  </si>
  <si>
    <t>Case Management includes ALL vendor related hourly rate project support for all data sources.</t>
  </si>
  <si>
    <t>Tech Support estimated hours</t>
  </si>
  <si>
    <t>CASE MANAGEMENT COST ALLOCTED ACROSS ALL DATA SOURCES</t>
  </si>
  <si>
    <t>Enter: Estimated # hours for Technical Support</t>
  </si>
  <si>
    <t>[aj1]</t>
  </si>
  <si>
    <t xml:space="preserve">Tech Support  / hourly rate </t>
  </si>
  <si>
    <t>Enter Cost: Hourly rate for Tech Support</t>
  </si>
  <si>
    <t>[aj2]</t>
  </si>
  <si>
    <t>Subtotal Tech support</t>
  </si>
  <si>
    <t>Calculation: Subtotal for Tech support</t>
  </si>
  <si>
    <t>[BC]</t>
  </si>
  <si>
    <t>Project Management estimated hours</t>
  </si>
  <si>
    <t>Enter: Estimated # of hours for Project Management Support</t>
  </si>
  <si>
    <t>[ak1]</t>
  </si>
  <si>
    <t xml:space="preserve">Project Management / hourly rate </t>
  </si>
  <si>
    <t>Enter Cost: Hourly rate for Project Management Support</t>
  </si>
  <si>
    <t>[ak2]</t>
  </si>
  <si>
    <t>Subtotal Project Management support</t>
  </si>
  <si>
    <t>Calculation: Subtotal for Project Management support</t>
  </si>
  <si>
    <t>[BD]</t>
  </si>
  <si>
    <t>[ak1] * [ak2]</t>
  </si>
  <si>
    <t>Law Firm Attorneys estimated hours</t>
  </si>
  <si>
    <t>Enter: Estimated # of hours for Law Firm Attorneys</t>
  </si>
  <si>
    <t>[al1]</t>
  </si>
  <si>
    <t xml:space="preserve">Law Firm Attorneys  / hourly rate </t>
  </si>
  <si>
    <t xml:space="preserve">Enter Cost: Hourly rate for Law Firm Attorneys </t>
  </si>
  <si>
    <t>[al2]</t>
  </si>
  <si>
    <t>Subtotal Law Firm Attorneys</t>
  </si>
  <si>
    <t>Calculation: Subtotal for Law Firm Attorneys</t>
  </si>
  <si>
    <t>[BE]</t>
  </si>
  <si>
    <t>[al1] * [al2]</t>
  </si>
  <si>
    <t xml:space="preserve">Supervisor/Mgr. fee per % of review </t>
  </si>
  <si>
    <t>Enter Assumption: % of 1st Pass Review costs for Supervisory/QC/Managers fee</t>
  </si>
  <si>
    <t>[am1]</t>
  </si>
  <si>
    <t>Subtotal Supervisor/Manager fee</t>
  </si>
  <si>
    <t>Calculation: Supervisor/Manager fee</t>
  </si>
  <si>
    <t>[BF]</t>
  </si>
  <si>
    <t>[AO] * [am1]</t>
  </si>
  <si>
    <t>SUBTOTAL CASE MANAGEMENT/SUPPORT</t>
  </si>
  <si>
    <t>Calculation: Cost of Management/Support</t>
  </si>
  <si>
    <t>[BG]</t>
  </si>
  <si>
    <t>([BC] + [BD] + [BE] + [BF])</t>
  </si>
  <si>
    <t>Number of data source types</t>
  </si>
  <si>
    <t>Enter: number of different data source types.</t>
  </si>
  <si>
    <t>[an1]</t>
  </si>
  <si>
    <t>Calculation: Estimated Case Management resources for entire project divided across data sources.</t>
  </si>
  <si>
    <t>[BH]</t>
  </si>
  <si>
    <t>[BG] / [an1]</t>
  </si>
  <si>
    <t xml:space="preserve">TOTAL PROJECT COSTS </t>
  </si>
  <si>
    <t>([E] +[K] + [S] + [V] + [AG] + [AW] + [BB] + [BH] )</t>
  </si>
  <si>
    <t>SMALL CASE</t>
  </si>
  <si>
    <t>GW Discovery Proportionality Model
Cost Prediction Calculator</t>
  </si>
  <si>
    <r>
      <t>Collection costs are typically based on a single collection method, either by custodian, by device or hourly. In the calculations below,</t>
    </r>
    <r>
      <rPr>
        <b/>
        <sz val="10"/>
        <color rgb="FFFF0000"/>
        <rFont val="Arial"/>
        <family val="2"/>
      </rPr>
      <t xml:space="preserve"> add values for only the method being utilized for your project.</t>
    </r>
  </si>
  <si>
    <t>Calculation: GB to be hosted (line 45)</t>
  </si>
  <si>
    <t>Review may include 1st Pass, 2nd Pass, Privilege review and analytics.</t>
  </si>
  <si>
    <t>([X] / [x1]) x [x2]</t>
  </si>
  <si>
    <t>Enter Assumption: Rate of responsiveness in 1st Pass (% of line 66)</t>
  </si>
  <si>
    <t>[X] x [x3]</t>
  </si>
  <si>
    <t>Enter: Estimated NUMBER of 2nd Pass documents to be reviewed (This might be a mix of 1st Pass documents and QC review.)</t>
  </si>
  <si>
    <t>([z1] / [z2]) * [z3]</t>
  </si>
  <si>
    <t>Enter Assumption: Rate of responsiveness in 2nd Pass (% of line 66)</t>
  </si>
  <si>
    <t xml:space="preserve"> [aa1] * [z1]</t>
  </si>
  <si>
    <t>Privilege/Confidentiality/Privacy documents</t>
  </si>
  <si>
    <t>[AB] * [ab1}</t>
  </si>
  <si>
    <t>([AD] / [ac1]) * [ad1]</t>
  </si>
  <si>
    <t>[AD] * [ae1]</t>
  </si>
  <si>
    <t>([AF] / [af1]) * [ag1]</t>
  </si>
  <si>
    <t>[AG]+[AE]+[AA]+[Y]</t>
  </si>
  <si>
    <t>Calculation: Documents to be produced (line 80 - line 82 + line 87)</t>
  </si>
  <si>
    <t>([AB] - [AD]) + [AF]</t>
  </si>
  <si>
    <t>[ah1] / [W]</t>
  </si>
  <si>
    <t>[AI] * [ai1]</t>
  </si>
  <si>
    <t>[aj1] * [aj2]</t>
  </si>
  <si>
    <t>[AJ] + [AK]</t>
  </si>
  <si>
    <t>[am2]</t>
  </si>
  <si>
    <t>[am1] * am2]</t>
  </si>
  <si>
    <t>[an2]</t>
  </si>
  <si>
    <t>[an1] * [an2]</t>
  </si>
  <si>
    <t>Enter Assumption: % of 1st Pass Review costs (line 69) for Supervisory/QC/Managers fee</t>
  </si>
  <si>
    <t>[ao1]</t>
  </si>
  <si>
    <t>[Y] * [ao1]</t>
  </si>
  <si>
    <t>[AM] +[AN] + [AO] + [AP]</t>
  </si>
  <si>
    <t>[ap1]</t>
  </si>
  <si>
    <t>[AQ] / [ap1]</t>
  </si>
  <si>
    <t>[E] +[K] + [S] + [V] +[AH] + [AL] + [AQ]</t>
  </si>
  <si>
    <t>Copyright © 2022, Rabiej Litigation Law Center All Rights Reserved.  Developed under the Rabiej Litigation Law Center with the technical assistance of Optix Evidence®.  It is freely available to the public and reprints are authorized, but only if attributed to the Rabiej Litigation Law Center.
 </t>
  </si>
  <si>
    <t>Copyright © 2022, Rabiej Litigation Law Center All Rights Reserved.  Developed under the Rabiej Litigation Law Center with the technical assistance of Optix Evidence®.  It is freely available to the public and reprints are authorized, but only if attributed to the Rabiej Litigation Law Center.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</si>
</sst>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quot;$&quot;#,##0.00"/>
    <numFmt numFmtId="166" formatCode="#,##0.0"/>
    <numFmt numFmtId="167" formatCode="0.0%"/>
    <numFmt numFmtId="168" formatCode="0.0"/>
  </numFmts>
  <fonts count="75" x14ac:knownFonts="1">
    <font>
      <sz val="11"/>
      <color theme="1"/>
      <name val="Calibri"/>
      <family val="2"/>
      <scheme val="minor"/>
    </font>
    <font>
      <sz val="11"/>
      <color theme="1"/>
      <name val="Calibri"/>
      <family val="2"/>
      <scheme val="minor"/>
    </font>
    <font>
      <sz val="11"/>
      <color theme="1"/>
      <name val="Arial"/>
      <family val="2"/>
    </font>
    <font>
      <sz val="11"/>
      <name val="Arial"/>
      <family val="2"/>
    </font>
    <font>
      <sz val="11"/>
      <color theme="0"/>
      <name val="Arial"/>
      <family val="2"/>
    </font>
    <font>
      <sz val="12"/>
      <color theme="0"/>
      <name val="Arial"/>
      <family val="2"/>
    </font>
    <font>
      <sz val="12"/>
      <color theme="1"/>
      <name val="Arial"/>
      <family val="2"/>
    </font>
    <font>
      <b/>
      <sz val="11"/>
      <color theme="1"/>
      <name val="Arial"/>
      <family val="2"/>
    </font>
    <font>
      <b/>
      <sz val="11"/>
      <name val="Arial"/>
      <family val="2"/>
    </font>
    <font>
      <b/>
      <sz val="10"/>
      <color theme="1"/>
      <name val="Arial"/>
      <family val="2"/>
    </font>
    <font>
      <b/>
      <sz val="10"/>
      <name val="Arial"/>
      <family val="2"/>
    </font>
    <font>
      <sz val="16"/>
      <color theme="1"/>
      <name val="Arial"/>
      <family val="2"/>
    </font>
    <font>
      <sz val="22"/>
      <color theme="1"/>
      <name val="Calibri"/>
      <family val="2"/>
      <scheme val="minor"/>
    </font>
    <font>
      <sz val="14"/>
      <color theme="1"/>
      <name val="Arial"/>
      <family val="2"/>
    </font>
    <font>
      <b/>
      <sz val="11"/>
      <color theme="0"/>
      <name val="Arial"/>
      <family val="2"/>
    </font>
    <font>
      <b/>
      <sz val="14"/>
      <color theme="0"/>
      <name val="Arial"/>
      <family val="2"/>
    </font>
    <font>
      <sz val="12"/>
      <color theme="1"/>
      <name val="Calibri Light"/>
      <family val="2"/>
      <scheme val="major"/>
    </font>
    <font>
      <sz val="11"/>
      <name val="Calibri"/>
      <family val="2"/>
      <scheme val="minor"/>
    </font>
    <font>
      <sz val="10"/>
      <color theme="1"/>
      <name val="Calibri"/>
      <family val="2"/>
      <scheme val="minor"/>
    </font>
    <font>
      <sz val="12"/>
      <name val="Arial"/>
      <family val="2"/>
    </font>
    <font>
      <b/>
      <sz val="12"/>
      <color theme="1"/>
      <name val="Arial"/>
      <family val="2"/>
    </font>
    <font>
      <b/>
      <i/>
      <u/>
      <sz val="11"/>
      <color rgb="FF0070C0"/>
      <name val="Arial"/>
      <family val="2"/>
    </font>
    <font>
      <b/>
      <i/>
      <sz val="11"/>
      <color rgb="FF0070C0"/>
      <name val="Arial"/>
      <family val="2"/>
    </font>
    <font>
      <b/>
      <sz val="11"/>
      <color rgb="FF0070C0"/>
      <name val="Arial"/>
      <family val="2"/>
    </font>
    <font>
      <sz val="11"/>
      <color rgb="FF0070C0"/>
      <name val="Arial"/>
      <family val="2"/>
    </font>
    <font>
      <b/>
      <i/>
      <sz val="11"/>
      <color theme="1"/>
      <name val="Arial"/>
      <family val="2"/>
    </font>
    <font>
      <b/>
      <sz val="10"/>
      <color rgb="FFFF0000"/>
      <name val="Arial"/>
      <family val="2"/>
    </font>
    <font>
      <b/>
      <sz val="11"/>
      <color theme="1"/>
      <name val="Calibri"/>
      <family val="2"/>
      <scheme val="minor"/>
    </font>
    <font>
      <sz val="11"/>
      <color theme="0"/>
      <name val="Calibri"/>
      <family val="2"/>
      <scheme val="minor"/>
    </font>
    <font>
      <b/>
      <i/>
      <sz val="12"/>
      <color rgb="FF002060"/>
      <name val="Calibri"/>
      <family val="2"/>
      <scheme val="minor"/>
    </font>
    <font>
      <b/>
      <sz val="12"/>
      <color theme="1"/>
      <name val="Calibri"/>
      <family val="2"/>
      <scheme val="minor"/>
    </font>
    <font>
      <b/>
      <sz val="28"/>
      <name val="Calibri"/>
      <family val="2"/>
      <scheme val="minor"/>
    </font>
    <font>
      <sz val="28"/>
      <name val="Calibri"/>
      <family val="2"/>
      <scheme val="minor"/>
    </font>
    <font>
      <b/>
      <sz val="12"/>
      <color rgb="FF002060"/>
      <name val="Calibri"/>
      <family val="2"/>
      <scheme val="minor"/>
    </font>
    <font>
      <sz val="12"/>
      <color rgb="FF002060"/>
      <name val="Calibri"/>
      <family val="2"/>
      <scheme val="minor"/>
    </font>
    <font>
      <b/>
      <i/>
      <sz val="12"/>
      <name val="Calibri"/>
      <family val="2"/>
      <scheme val="minor"/>
    </font>
    <font>
      <i/>
      <sz val="9"/>
      <color rgb="FF002060"/>
      <name val="Calibri"/>
      <family val="2"/>
      <scheme val="minor"/>
    </font>
    <font>
      <sz val="9"/>
      <color theme="1"/>
      <name val="Calibri"/>
      <family val="2"/>
      <scheme val="minor"/>
    </font>
    <font>
      <b/>
      <sz val="9"/>
      <color theme="1"/>
      <name val="Calibri"/>
      <family val="2"/>
      <scheme val="minor"/>
    </font>
    <font>
      <b/>
      <sz val="36"/>
      <color rgb="FF92D050"/>
      <name val="Calibri"/>
      <family val="2"/>
      <scheme val="minor"/>
    </font>
    <font>
      <b/>
      <sz val="11"/>
      <color rgb="FFFFFFFF"/>
      <name val="Calibri"/>
      <family val="2"/>
    </font>
    <font>
      <sz val="11"/>
      <color rgb="FF000000"/>
      <name val="Calibri"/>
      <family val="2"/>
    </font>
    <font>
      <b/>
      <sz val="11"/>
      <color rgb="FF000000"/>
      <name val="Calibri"/>
      <family val="2"/>
    </font>
    <font>
      <b/>
      <sz val="28"/>
      <color rgb="FF92D050"/>
      <name val="Calibri"/>
      <family val="2"/>
      <scheme val="minor"/>
    </font>
    <font>
      <b/>
      <sz val="28"/>
      <color theme="1"/>
      <name val="Calibri"/>
      <family val="2"/>
      <scheme val="minor"/>
    </font>
    <font>
      <sz val="28"/>
      <color theme="1"/>
      <name val="Calibri"/>
      <family val="2"/>
      <scheme val="minor"/>
    </font>
    <font>
      <b/>
      <sz val="28"/>
      <color rgb="FFFFFFFF"/>
      <name val="Calibri"/>
      <family val="2"/>
    </font>
    <font>
      <b/>
      <sz val="12"/>
      <color theme="0"/>
      <name val="Calibri"/>
      <family val="2"/>
      <scheme val="minor"/>
    </font>
    <font>
      <sz val="14"/>
      <color theme="0"/>
      <name val="Calibri"/>
      <family val="2"/>
      <scheme val="minor"/>
    </font>
    <font>
      <i/>
      <sz val="11"/>
      <color rgb="FF002060"/>
      <name val="Calibri"/>
      <family val="2"/>
      <scheme val="minor"/>
    </font>
    <font>
      <sz val="10"/>
      <color theme="1"/>
      <name val="Arial"/>
      <family val="2"/>
    </font>
    <font>
      <sz val="10"/>
      <color theme="0"/>
      <name val="Arial"/>
      <family val="2"/>
    </font>
    <font>
      <sz val="10"/>
      <color rgb="FFCC0066"/>
      <name val="Arial"/>
      <family val="2"/>
    </font>
    <font>
      <sz val="11"/>
      <color theme="4" tint="-0.249977111117893"/>
      <name val="Arial"/>
      <family val="2"/>
    </font>
    <font>
      <sz val="10"/>
      <name val="Arial"/>
      <family val="2"/>
    </font>
    <font>
      <sz val="12"/>
      <name val="Calibri Light"/>
      <family val="2"/>
      <scheme val="major"/>
    </font>
    <font>
      <b/>
      <sz val="14"/>
      <color theme="1"/>
      <name val="Calibri Light"/>
      <family val="2"/>
      <scheme val="major"/>
    </font>
    <font>
      <b/>
      <sz val="12"/>
      <color theme="0"/>
      <name val="Arial"/>
      <family val="2"/>
    </font>
    <font>
      <sz val="12"/>
      <color rgb="FFFF0000"/>
      <name val="Arial"/>
      <family val="2"/>
    </font>
    <font>
      <sz val="20"/>
      <color theme="1"/>
      <name val="Calibri"/>
      <family val="2"/>
      <scheme val="minor"/>
    </font>
    <font>
      <b/>
      <sz val="16"/>
      <color theme="1"/>
      <name val="Arial"/>
      <family val="2"/>
    </font>
    <font>
      <i/>
      <sz val="11"/>
      <color theme="1"/>
      <name val="Arial"/>
      <family val="2"/>
    </font>
    <font>
      <b/>
      <sz val="10"/>
      <color theme="0"/>
      <name val="Arial"/>
      <family val="2"/>
    </font>
    <font>
      <sz val="9"/>
      <color theme="0"/>
      <name val="Arial"/>
      <family val="2"/>
    </font>
    <font>
      <b/>
      <sz val="12"/>
      <name val="Arial"/>
      <family val="2"/>
    </font>
    <font>
      <b/>
      <sz val="11"/>
      <color theme="0"/>
      <name val="Calibri"/>
      <family val="2"/>
      <scheme val="minor"/>
    </font>
    <font>
      <b/>
      <sz val="11"/>
      <name val="Calibri"/>
      <family val="2"/>
      <scheme val="minor"/>
    </font>
    <font>
      <i/>
      <sz val="11"/>
      <color theme="1"/>
      <name val="Calibri"/>
      <family val="2"/>
      <scheme val="minor"/>
    </font>
    <font>
      <sz val="14"/>
      <name val="Calibri"/>
      <family val="2"/>
      <scheme val="minor"/>
    </font>
    <font>
      <sz val="12"/>
      <color theme="1"/>
      <name val="Calibri"/>
      <family val="2"/>
      <scheme val="minor"/>
    </font>
    <font>
      <b/>
      <sz val="14"/>
      <color theme="1"/>
      <name val="Calibri"/>
      <family val="2"/>
      <scheme val="minor"/>
    </font>
    <font>
      <b/>
      <sz val="11"/>
      <color rgb="FFFF0000"/>
      <name val="Calibri"/>
      <family val="2"/>
      <scheme val="minor"/>
    </font>
    <font>
      <sz val="12"/>
      <color theme="0"/>
      <name val="Calibri"/>
      <family val="2"/>
      <scheme val="minor"/>
    </font>
    <font>
      <sz val="18"/>
      <color rgb="FFFF0000"/>
      <name val="Calibri"/>
      <family val="2"/>
      <scheme val="minor"/>
    </font>
    <font>
      <i/>
      <sz val="11"/>
      <name val="Calibri"/>
      <family val="2"/>
      <scheme val="minor"/>
    </font>
  </fonts>
  <fills count="16">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249977111117893"/>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CC0000"/>
        <bgColor indexed="64"/>
      </patternFill>
    </fill>
    <fill>
      <patternFill patternType="solid">
        <fgColor rgb="FFC00000"/>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2"/>
        <bgColor indexed="64"/>
      </patternFill>
    </fill>
    <fill>
      <patternFill patternType="solid">
        <fgColor rgb="FF00B0F0"/>
        <bgColor indexed="64"/>
      </patternFill>
    </fill>
  </fills>
  <borders count="97">
    <border>
      <left/>
      <right/>
      <top/>
      <bottom/>
      <diagonal/>
    </border>
    <border>
      <left style="medium">
        <color indexed="64"/>
      </left>
      <right/>
      <top/>
      <bottom style="medium">
        <color indexed="64"/>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right style="medium">
        <color theme="0" tint="-0.499984740745262"/>
      </right>
      <top/>
      <bottom/>
      <diagonal/>
    </border>
    <border>
      <left/>
      <right style="medium">
        <color theme="0" tint="-0.499984740745262"/>
      </right>
      <top/>
      <bottom style="medium">
        <color theme="0" tint="-0.499984740745262"/>
      </bottom>
      <diagonal/>
    </border>
    <border>
      <left style="medium">
        <color theme="0" tint="-0.499984740745262"/>
      </left>
      <right style="medium">
        <color theme="0" tint="-0.499984740745262"/>
      </right>
      <top/>
      <bottom style="medium">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top style="medium">
        <color indexed="64"/>
      </top>
      <bottom style="medium">
        <color theme="0" tint="-0.499984740745262"/>
      </bottom>
      <diagonal/>
    </border>
    <border>
      <left/>
      <right style="medium">
        <color indexed="64"/>
      </right>
      <top style="medium">
        <color indexed="64"/>
      </top>
      <bottom style="medium">
        <color theme="0" tint="-0.499984740745262"/>
      </bottom>
      <diagonal/>
    </border>
    <border>
      <left style="medium">
        <color indexed="64"/>
      </left>
      <right/>
      <top style="medium">
        <color indexed="64"/>
      </top>
      <bottom style="medium">
        <color theme="0" tint="-0.499984740745262"/>
      </bottom>
      <diagonal/>
    </border>
    <border>
      <left/>
      <right style="medium">
        <color theme="0" tint="-0.499984740745262"/>
      </right>
      <top style="medium">
        <color theme="0" tint="-0.499984740745262"/>
      </top>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medium">
        <color theme="0" tint="-0.499984740745262"/>
      </bottom>
      <diagonal/>
    </border>
    <border>
      <left style="medium">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right style="medium">
        <color theme="0" tint="-0.499984740745262"/>
      </right>
      <top style="thin">
        <color theme="0" tint="-0.499984740745262"/>
      </top>
      <bottom style="thin">
        <color theme="0" tint="-0.499984740745262"/>
      </bottom>
      <diagonal/>
    </border>
    <border>
      <left/>
      <right style="medium">
        <color theme="0" tint="-0.499984740745262"/>
      </right>
      <top style="thin">
        <color theme="0" tint="-0.499984740745262"/>
      </top>
      <bottom style="double">
        <color theme="0" tint="-0.499984740745262"/>
      </bottom>
      <diagonal/>
    </border>
    <border>
      <left style="double">
        <color theme="0" tint="-0.499984740745262"/>
      </left>
      <right style="medium">
        <color theme="0" tint="-0.499984740745262"/>
      </right>
      <top style="double">
        <color theme="0" tint="-0.499984740745262"/>
      </top>
      <bottom style="medium">
        <color theme="0" tint="-0.499984740745262"/>
      </bottom>
      <diagonal/>
    </border>
    <border>
      <left/>
      <right/>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right style="medium">
        <color theme="0" tint="-0.499984740745262"/>
      </right>
      <top/>
      <bottom style="thin">
        <color theme="0" tint="-0.499984740745262"/>
      </bottom>
      <diagonal/>
    </border>
    <border>
      <left style="medium">
        <color theme="0" tint="-0.499984740745262"/>
      </left>
      <right/>
      <top style="medium">
        <color theme="0" tint="-0.499984740745262"/>
      </top>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double">
        <color theme="0" tint="-0.499984740745262"/>
      </left>
      <right style="medium">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double">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top/>
      <bottom style="medium">
        <color theme="0" tint="-0.499984740745262"/>
      </bottom>
      <diagonal/>
    </border>
    <border>
      <left style="medium">
        <color theme="0" tint="-0.499984740745262"/>
      </left>
      <right/>
      <top/>
      <bottom/>
      <diagonal/>
    </border>
    <border>
      <left style="thin">
        <color theme="0" tint="-0.499984740745262"/>
      </left>
      <right style="thin">
        <color theme="0" tint="-0.499984740745262"/>
      </right>
      <top style="thin">
        <color theme="0" tint="-0.499984740745262"/>
      </top>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medium">
        <color rgb="FFFF0000"/>
      </left>
      <right style="medium">
        <color rgb="FFFF0000"/>
      </right>
      <top style="medium">
        <color rgb="FFFF0000"/>
      </top>
      <bottom style="medium">
        <color rgb="FFFF0000"/>
      </bottom>
      <diagonal/>
    </border>
    <border>
      <left/>
      <right/>
      <top style="medium">
        <color theme="0" tint="-0.499984740745262"/>
      </top>
      <bottom/>
      <diagonal/>
    </border>
    <border>
      <left style="medium">
        <color theme="0" tint="-0.499984740745262"/>
      </left>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diagonal/>
    </border>
    <border>
      <left style="medium">
        <color theme="0" tint="-0.499984740745262"/>
      </left>
      <right style="thin">
        <color theme="1" tint="0.34998626667073579"/>
      </right>
      <top style="medium">
        <color theme="0" tint="-0.499984740745262"/>
      </top>
      <bottom/>
      <diagonal/>
    </border>
    <border>
      <left style="thin">
        <color indexed="64"/>
      </left>
      <right style="thin">
        <color indexed="64"/>
      </right>
      <top style="thin">
        <color indexed="64"/>
      </top>
      <bottom style="thin">
        <color indexed="64"/>
      </bottom>
      <diagonal/>
    </border>
    <border>
      <left style="medium">
        <color theme="0" tint="-0.499984740745262"/>
      </left>
      <right style="thin">
        <color theme="1" tint="0.34998626667073579"/>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theme="0" tint="-0.499984740745262"/>
      </right>
      <top style="medium">
        <color indexed="64"/>
      </top>
      <bottom style="medium">
        <color indexed="64"/>
      </bottom>
      <diagonal/>
    </border>
    <border>
      <left style="medium">
        <color theme="0" tint="-0.499984740745262"/>
      </left>
      <right style="medium">
        <color theme="0" tint="-0.499984740745262"/>
      </right>
      <top style="medium">
        <color indexed="64"/>
      </top>
      <bottom style="medium">
        <color indexed="64"/>
      </bottom>
      <diagonal/>
    </border>
    <border>
      <left style="medium">
        <color theme="0" tint="-0.499984740745262"/>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theme="0" tint="-0.499984740745262"/>
      </right>
      <top style="medium">
        <color theme="0" tint="-0.499984740745262"/>
      </top>
      <bottom style="medium">
        <color theme="0" tint="-0.499984740745262"/>
      </bottom>
      <diagonal/>
    </border>
    <border>
      <left/>
      <right style="thin">
        <color indexed="64"/>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thin">
        <color indexed="64"/>
      </bottom>
      <diagonal/>
    </border>
    <border>
      <left style="medium">
        <color theme="0" tint="-0.499984740745262"/>
      </left>
      <right style="medium">
        <color theme="0" tint="-0.499984740745262"/>
      </right>
      <top style="thin">
        <color indexed="64"/>
      </top>
      <bottom style="medium">
        <color theme="0" tint="-0.499984740745262"/>
      </bottom>
      <diagonal/>
    </border>
    <border>
      <left style="medium">
        <color theme="0" tint="-0.499984740745262"/>
      </left>
      <right style="thin">
        <color indexed="64"/>
      </right>
      <top style="medium">
        <color theme="0" tint="-0.499984740745262"/>
      </top>
      <bottom style="thin">
        <color indexed="64"/>
      </bottom>
      <diagonal/>
    </border>
    <border>
      <left style="thin">
        <color indexed="64"/>
      </left>
      <right style="medium">
        <color theme="0" tint="-0.499984740745262"/>
      </right>
      <top style="medium">
        <color theme="0" tint="-0.499984740745262"/>
      </top>
      <bottom style="thin">
        <color indexed="64"/>
      </bottom>
      <diagonal/>
    </border>
    <border>
      <left style="thin">
        <color indexed="64"/>
      </left>
      <right style="medium">
        <color theme="0" tint="-0.499984740745262"/>
      </right>
      <top style="thin">
        <color indexed="64"/>
      </top>
      <bottom style="medium">
        <color theme="0" tint="-0.499984740745262"/>
      </bottom>
      <diagonal/>
    </border>
    <border>
      <left/>
      <right/>
      <top style="thin">
        <color indexed="64"/>
      </top>
      <bottom style="thin">
        <color indexed="64"/>
      </bottom>
      <diagonal/>
    </border>
    <border>
      <left/>
      <right style="thin">
        <color theme="0" tint="-0.499984740745262"/>
      </right>
      <top/>
      <bottom style="thin">
        <color theme="0" tint="-0.499984740745262"/>
      </bottom>
      <diagonal/>
    </border>
    <border>
      <left style="thin">
        <color indexed="64"/>
      </left>
      <right style="thin">
        <color theme="0" tint="-0.499984740745262"/>
      </right>
      <top style="thin">
        <color indexed="64"/>
      </top>
      <bottom style="thin">
        <color indexed="64"/>
      </bottom>
      <diagonal/>
    </border>
    <border>
      <left style="thin">
        <color indexed="64"/>
      </left>
      <right style="thin">
        <color indexed="64"/>
      </right>
      <top style="thin">
        <color theme="0" tint="-0.499984740745262"/>
      </top>
      <bottom style="thin">
        <color indexed="64"/>
      </bottom>
      <diagonal/>
    </border>
    <border>
      <left style="thin">
        <color theme="0" tint="-0.499984740745262"/>
      </left>
      <right style="thin">
        <color indexed="64"/>
      </right>
      <top style="thin">
        <color indexed="64"/>
      </top>
      <bottom style="thin">
        <color indexed="64"/>
      </bottom>
      <diagonal/>
    </border>
    <border>
      <left style="medium">
        <color theme="0" tint="-0.499984740745262"/>
      </left>
      <right/>
      <top style="thin">
        <color indexed="64"/>
      </top>
      <bottom style="medium">
        <color theme="0" tint="-0.499984740745262"/>
      </bottom>
      <diagonal/>
    </border>
    <border>
      <left style="medium">
        <color theme="0" tint="-0.499984740745262"/>
      </left>
      <right/>
      <top/>
      <bottom style="thin">
        <color theme="0" tint="-0.499984740745262"/>
      </bottom>
      <diagonal/>
    </border>
    <border>
      <left/>
      <right/>
      <top/>
      <bottom style="thin">
        <color theme="0" tint="-0.499984740745262"/>
      </bottom>
      <diagonal/>
    </border>
    <border>
      <left style="thin">
        <color indexed="64"/>
      </left>
      <right style="thin">
        <color theme="0" tint="-0.499984740745262"/>
      </right>
      <top/>
      <bottom style="thin">
        <color indexed="64"/>
      </bottom>
      <diagonal/>
    </border>
    <border>
      <left style="thin">
        <color theme="0" tint="-0.499984740745262"/>
      </left>
      <right style="thin">
        <color indexed="64"/>
      </right>
      <top style="thin">
        <color indexed="64"/>
      </top>
      <bottom style="medium">
        <color theme="0" tint="-0.499984740745262"/>
      </bottom>
      <diagonal/>
    </border>
    <border>
      <left style="thin">
        <color theme="0" tint="-0.499984740745262"/>
      </left>
      <right style="thin">
        <color indexed="64"/>
      </right>
      <top/>
      <bottom style="thin">
        <color indexed="64"/>
      </bottom>
      <diagonal/>
    </border>
    <border>
      <left style="medium">
        <color theme="0" tint="-0.499984740745262"/>
      </left>
      <right style="medium">
        <color theme="0" tint="-0.499984740745262"/>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0" tint="-0.499984740745262"/>
      </right>
      <top style="medium">
        <color indexed="64"/>
      </top>
      <bottom style="thin">
        <color theme="0" tint="-0.499984740745262"/>
      </bottom>
      <diagonal/>
    </border>
    <border>
      <left style="thin">
        <color theme="0" tint="-0.499984740745262"/>
      </left>
      <right style="thin">
        <color theme="0" tint="-0.499984740745262"/>
      </right>
      <top style="medium">
        <color indexed="64"/>
      </top>
      <bottom style="thin">
        <color theme="0" tint="-0.499984740745262"/>
      </bottom>
      <diagonal/>
    </border>
    <border>
      <left style="thin">
        <color theme="0" tint="-0.499984740745262"/>
      </left>
      <right style="medium">
        <color indexed="64"/>
      </right>
      <top style="medium">
        <color indexed="64"/>
      </top>
      <bottom style="thin">
        <color theme="0" tint="-0.499984740745262"/>
      </bottom>
      <diagonal/>
    </border>
    <border>
      <left style="medium">
        <color indexed="64"/>
      </left>
      <right style="thin">
        <color theme="0" tint="-0.499984740745262"/>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740">
    <xf numFmtId="0" fontId="0" fillId="0" borderId="0" xfId="0"/>
    <xf numFmtId="0" fontId="0" fillId="0" borderId="0" xfId="0" applyAlignment="1">
      <alignment horizontal="left"/>
    </xf>
    <xf numFmtId="0" fontId="2" fillId="5" borderId="2" xfId="0" applyFont="1" applyFill="1" applyBorder="1" applyAlignment="1">
      <alignment wrapText="1"/>
    </xf>
    <xf numFmtId="0" fontId="2" fillId="0" borderId="2" xfId="0" applyFont="1" applyBorder="1" applyAlignment="1">
      <alignment wrapText="1"/>
    </xf>
    <xf numFmtId="0" fontId="0" fillId="7" borderId="0" xfId="0" applyFill="1"/>
    <xf numFmtId="0" fontId="2" fillId="7" borderId="0" xfId="0" applyFont="1" applyFill="1"/>
    <xf numFmtId="0" fontId="4" fillId="7" borderId="2" xfId="0" applyFont="1" applyFill="1" applyBorder="1"/>
    <xf numFmtId="0" fontId="2" fillId="0" borderId="0" xfId="0" applyFont="1"/>
    <xf numFmtId="0" fontId="5" fillId="7" borderId="2" xfId="0" applyFont="1" applyFill="1" applyBorder="1" applyAlignment="1">
      <alignment wrapText="1"/>
    </xf>
    <xf numFmtId="0" fontId="2" fillId="5" borderId="6" xfId="0" applyFont="1" applyFill="1" applyBorder="1" applyAlignment="1">
      <alignment wrapText="1"/>
    </xf>
    <xf numFmtId="0" fontId="2" fillId="9" borderId="2" xfId="0" applyFont="1" applyFill="1" applyBorder="1" applyAlignment="1">
      <alignment vertical="center"/>
    </xf>
    <xf numFmtId="0" fontId="0" fillId="0" borderId="0" xfId="0" applyAlignment="1">
      <alignment horizontal="center" vertical="center"/>
    </xf>
    <xf numFmtId="0" fontId="2" fillId="9" borderId="2" xfId="0" applyFont="1" applyFill="1" applyBorder="1" applyAlignment="1">
      <alignment vertical="center" wrapText="1"/>
    </xf>
    <xf numFmtId="164" fontId="2" fillId="0" borderId="0" xfId="3" applyNumberFormat="1" applyFont="1" applyAlignment="1">
      <alignment horizontal="center" vertical="top"/>
    </xf>
    <xf numFmtId="0" fontId="2" fillId="0" borderId="0" xfId="0" applyFont="1" applyAlignment="1">
      <alignment horizontal="center" vertical="top"/>
    </xf>
    <xf numFmtId="0" fontId="2" fillId="0" borderId="0" xfId="0" applyFont="1" applyAlignment="1">
      <alignment vertical="top"/>
    </xf>
    <xf numFmtId="0" fontId="7" fillId="0" borderId="0" xfId="0" applyFont="1" applyAlignment="1">
      <alignment horizontal="center" vertical="center" wrapText="1"/>
    </xf>
    <xf numFmtId="0" fontId="7" fillId="0" borderId="0" xfId="0" applyFont="1" applyAlignment="1">
      <alignment vertical="center" wrapText="1"/>
    </xf>
    <xf numFmtId="0" fontId="2" fillId="0" borderId="11" xfId="0" applyFont="1" applyBorder="1" applyAlignment="1">
      <alignment vertical="top"/>
    </xf>
    <xf numFmtId="1" fontId="2" fillId="0" borderId="11" xfId="3" applyNumberFormat="1" applyFont="1" applyBorder="1" applyAlignment="1">
      <alignment horizontal="center" vertical="top"/>
    </xf>
    <xf numFmtId="164" fontId="2" fillId="0" borderId="11" xfId="3" applyNumberFormat="1" applyFont="1" applyBorder="1" applyAlignment="1">
      <alignment horizontal="center" vertical="top"/>
    </xf>
    <xf numFmtId="1" fontId="2" fillId="0" borderId="0" xfId="3" applyNumberFormat="1" applyFont="1" applyAlignment="1">
      <alignment horizontal="center" vertical="top"/>
    </xf>
    <xf numFmtId="0" fontId="2" fillId="0" borderId="12" xfId="0" applyFont="1" applyBorder="1" applyAlignment="1">
      <alignment vertical="top"/>
    </xf>
    <xf numFmtId="1" fontId="2" fillId="0" borderId="12" xfId="3" applyNumberFormat="1" applyFont="1" applyBorder="1" applyAlignment="1">
      <alignment horizontal="center" vertical="top"/>
    </xf>
    <xf numFmtId="0" fontId="7" fillId="0" borderId="4" xfId="0" applyFont="1" applyBorder="1" applyAlignment="1">
      <alignment vertical="center" wrapText="1"/>
    </xf>
    <xf numFmtId="1" fontId="7" fillId="0" borderId="2" xfId="3" applyNumberFormat="1" applyFont="1" applyBorder="1" applyAlignment="1">
      <alignment horizontal="center" vertical="center" wrapText="1"/>
    </xf>
    <xf numFmtId="164" fontId="7" fillId="3" borderId="2" xfId="3" applyNumberFormat="1" applyFont="1" applyFill="1" applyBorder="1" applyAlignment="1">
      <alignment horizontal="center" vertical="center" wrapText="1"/>
    </xf>
    <xf numFmtId="164" fontId="2" fillId="0" borderId="0" xfId="3" applyNumberFormat="1" applyFont="1" applyAlignment="1">
      <alignment horizontal="center"/>
    </xf>
    <xf numFmtId="164" fontId="7" fillId="4" borderId="2" xfId="3" applyNumberFormat="1" applyFont="1" applyFill="1" applyBorder="1" applyAlignment="1">
      <alignment horizontal="center" vertical="center" wrapText="1"/>
    </xf>
    <xf numFmtId="1" fontId="2" fillId="4" borderId="12" xfId="3" applyNumberFormat="1" applyFont="1" applyFill="1" applyBorder="1" applyAlignment="1">
      <alignment horizontal="center" vertical="center"/>
    </xf>
    <xf numFmtId="1" fontId="6" fillId="9" borderId="11" xfId="3" applyNumberFormat="1" applyFont="1" applyFill="1" applyBorder="1" applyAlignment="1">
      <alignment horizontal="center" vertical="center"/>
    </xf>
    <xf numFmtId="0" fontId="2" fillId="0" borderId="2" xfId="0" applyFont="1" applyBorder="1" applyAlignment="1">
      <alignment horizontal="center" vertical="center"/>
    </xf>
    <xf numFmtId="0" fontId="3" fillId="0" borderId="2" xfId="0" applyFont="1" applyBorder="1" applyAlignment="1">
      <alignment vertical="center"/>
    </xf>
    <xf numFmtId="44" fontId="2" fillId="9" borderId="2" xfId="0" applyNumberFormat="1" applyFont="1" applyFill="1" applyBorder="1" applyAlignment="1">
      <alignment vertical="center"/>
    </xf>
    <xf numFmtId="44" fontId="3" fillId="9" borderId="2" xfId="0" applyNumberFormat="1" applyFont="1" applyFill="1" applyBorder="1" applyAlignment="1">
      <alignment vertical="center"/>
    </xf>
    <xf numFmtId="44" fontId="3" fillId="9" borderId="2" xfId="0" applyNumberFormat="1" applyFont="1" applyFill="1" applyBorder="1" applyAlignment="1">
      <alignment horizontal="right" vertical="center" wrapText="1"/>
    </xf>
    <xf numFmtId="0" fontId="2" fillId="0" borderId="2" xfId="0" applyFont="1" applyBorder="1" applyAlignment="1">
      <alignment vertical="center"/>
    </xf>
    <xf numFmtId="44" fontId="3" fillId="0" borderId="2" xfId="0" applyNumberFormat="1" applyFont="1" applyBorder="1" applyAlignment="1">
      <alignment vertical="center"/>
    </xf>
    <xf numFmtId="44" fontId="3" fillId="5" borderId="2" xfId="0" applyNumberFormat="1" applyFont="1" applyFill="1" applyBorder="1" applyAlignment="1">
      <alignment vertical="center" wrapText="1"/>
    </xf>
    <xf numFmtId="44" fontId="2" fillId="9" borderId="2" xfId="1" applyFont="1" applyFill="1" applyBorder="1" applyAlignment="1">
      <alignment vertical="center"/>
    </xf>
    <xf numFmtId="44" fontId="2" fillId="9" borderId="2" xfId="1" applyFont="1" applyFill="1" applyBorder="1" applyAlignment="1">
      <alignment vertical="center" wrapText="1"/>
    </xf>
    <xf numFmtId="44" fontId="3" fillId="9" borderId="2" xfId="0" applyNumberFormat="1" applyFont="1" applyFill="1" applyBorder="1" applyAlignment="1">
      <alignment vertical="center" wrapText="1"/>
    </xf>
    <xf numFmtId="0" fontId="3" fillId="9" borderId="2" xfId="0" applyFont="1" applyFill="1" applyBorder="1" applyAlignment="1">
      <alignment vertical="center"/>
    </xf>
    <xf numFmtId="0" fontId="18" fillId="0" borderId="0" xfId="0" applyFont="1" applyAlignment="1">
      <alignment vertical="center"/>
    </xf>
    <xf numFmtId="0" fontId="2" fillId="0" borderId="2" xfId="0" applyFont="1" applyBorder="1" applyAlignment="1">
      <alignment vertical="center" wrapText="1"/>
    </xf>
    <xf numFmtId="0" fontId="0" fillId="0" borderId="0" xfId="0" applyAlignment="1">
      <alignment wrapText="1"/>
    </xf>
    <xf numFmtId="0" fontId="7" fillId="0" borderId="4" xfId="0" applyFont="1" applyBorder="1" applyAlignment="1">
      <alignment horizontal="center" vertical="center" wrapText="1"/>
    </xf>
    <xf numFmtId="164" fontId="7" fillId="0" borderId="2" xfId="3" applyNumberFormat="1" applyFont="1" applyFill="1" applyBorder="1" applyAlignment="1">
      <alignment horizontal="center" vertical="center" wrapText="1"/>
    </xf>
    <xf numFmtId="0" fontId="2" fillId="0" borderId="0" xfId="0" applyFont="1" applyAlignment="1">
      <alignment wrapText="1"/>
    </xf>
    <xf numFmtId="0" fontId="2" fillId="0" borderId="2" xfId="0" applyFont="1" applyBorder="1" applyAlignment="1">
      <alignment horizontal="left" vertical="center" wrapText="1"/>
    </xf>
    <xf numFmtId="44" fontId="2" fillId="6" borderId="2" xfId="0" applyNumberFormat="1" applyFont="1" applyFill="1" applyBorder="1"/>
    <xf numFmtId="0" fontId="2" fillId="4" borderId="5" xfId="0" applyFont="1" applyFill="1" applyBorder="1"/>
    <xf numFmtId="1" fontId="2" fillId="9" borderId="2" xfId="0" applyNumberFormat="1" applyFont="1" applyFill="1" applyBorder="1"/>
    <xf numFmtId="44" fontId="2" fillId="6" borderId="6" xfId="0" applyNumberFormat="1" applyFont="1" applyFill="1" applyBorder="1"/>
    <xf numFmtId="0" fontId="10" fillId="4" borderId="4" xfId="0" applyFont="1" applyFill="1" applyBorder="1" applyAlignment="1">
      <alignment wrapText="1"/>
    </xf>
    <xf numFmtId="0" fontId="9" fillId="4" borderId="25" xfId="0" applyFont="1" applyFill="1" applyBorder="1" applyAlignment="1">
      <alignment wrapText="1"/>
    </xf>
    <xf numFmtId="44" fontId="2" fillId="6" borderId="2" xfId="0" applyNumberFormat="1" applyFont="1" applyFill="1" applyBorder="1" applyAlignment="1">
      <alignment horizontal="right"/>
    </xf>
    <xf numFmtId="44" fontId="2" fillId="9" borderId="2" xfId="0" applyNumberFormat="1" applyFont="1" applyFill="1" applyBorder="1" applyAlignment="1">
      <alignment horizontal="right"/>
    </xf>
    <xf numFmtId="0" fontId="2" fillId="7" borderId="0" xfId="0" applyFont="1" applyFill="1" applyAlignment="1">
      <alignment horizontal="right"/>
    </xf>
    <xf numFmtId="1" fontId="2" fillId="9" borderId="2" xfId="0" applyNumberFormat="1" applyFont="1" applyFill="1" applyBorder="1" applyAlignment="1">
      <alignment horizontal="right"/>
    </xf>
    <xf numFmtId="1" fontId="2" fillId="3" borderId="2" xfId="0" applyNumberFormat="1" applyFont="1" applyFill="1" applyBorder="1" applyAlignment="1">
      <alignment horizontal="right"/>
    </xf>
    <xf numFmtId="9" fontId="2" fillId="2" borderId="2" xfId="2" applyFont="1" applyFill="1" applyBorder="1" applyAlignment="1">
      <alignment horizontal="right"/>
    </xf>
    <xf numFmtId="0" fontId="4" fillId="7" borderId="2" xfId="0" applyFont="1" applyFill="1" applyBorder="1" applyAlignment="1">
      <alignment horizontal="right"/>
    </xf>
    <xf numFmtId="9" fontId="3" fillId="2" borderId="2" xfId="2" applyFont="1" applyFill="1" applyBorder="1" applyAlignment="1">
      <alignment horizontal="right"/>
    </xf>
    <xf numFmtId="0" fontId="2" fillId="0" borderId="0" xfId="0" applyFont="1" applyAlignment="1">
      <alignment horizontal="right"/>
    </xf>
    <xf numFmtId="0" fontId="2" fillId="4" borderId="4" xfId="0" applyFont="1" applyFill="1" applyBorder="1" applyAlignment="1">
      <alignment horizontal="right"/>
    </xf>
    <xf numFmtId="0" fontId="2" fillId="7" borderId="3" xfId="0" applyFont="1" applyFill="1" applyBorder="1" applyAlignment="1">
      <alignment horizontal="right"/>
    </xf>
    <xf numFmtId="0" fontId="2" fillId="7" borderId="3" xfId="0" applyFont="1" applyFill="1" applyBorder="1"/>
    <xf numFmtId="1" fontId="2" fillId="3" borderId="10" xfId="0" applyNumberFormat="1" applyFont="1" applyFill="1" applyBorder="1" applyAlignment="1">
      <alignment horizontal="right"/>
    </xf>
    <xf numFmtId="0" fontId="2" fillId="9" borderId="17" xfId="0" applyFont="1" applyFill="1" applyBorder="1" applyAlignment="1">
      <alignment vertical="center"/>
    </xf>
    <xf numFmtId="0" fontId="2" fillId="9" borderId="27" xfId="0" applyFont="1" applyFill="1" applyBorder="1" applyAlignment="1">
      <alignment vertical="center"/>
    </xf>
    <xf numFmtId="1" fontId="2" fillId="9" borderId="30" xfId="0" applyNumberFormat="1" applyFont="1" applyFill="1" applyBorder="1" applyAlignment="1">
      <alignment horizontal="center" vertical="center" wrapText="1"/>
    </xf>
    <xf numFmtId="2" fontId="2" fillId="9" borderId="32" xfId="0" applyNumberFormat="1" applyFont="1" applyFill="1" applyBorder="1" applyAlignment="1">
      <alignment horizontal="center" vertical="center" wrapText="1"/>
    </xf>
    <xf numFmtId="0" fontId="0" fillId="0" borderId="0" xfId="0" applyProtection="1">
      <protection locked="0"/>
    </xf>
    <xf numFmtId="0" fontId="29" fillId="0" borderId="0" xfId="0" applyFont="1" applyAlignment="1">
      <alignment horizontal="center" vertical="center" wrapText="1"/>
    </xf>
    <xf numFmtId="0" fontId="0" fillId="0" borderId="0" xfId="0" applyAlignment="1">
      <alignment horizontal="center"/>
    </xf>
    <xf numFmtId="0" fontId="33" fillId="0" borderId="0" xfId="0" applyFont="1" applyAlignment="1">
      <alignment horizontal="left" vertical="center" wrapText="1"/>
    </xf>
    <xf numFmtId="0" fontId="34" fillId="0" borderId="0" xfId="0" applyFont="1" applyAlignment="1">
      <alignment horizontal="left" vertical="center"/>
    </xf>
    <xf numFmtId="0" fontId="35" fillId="0" borderId="0" xfId="0" applyFont="1" applyAlignment="1">
      <alignment horizontal="left" vertical="center"/>
    </xf>
    <xf numFmtId="0" fontId="29" fillId="0" borderId="0" xfId="0" applyFont="1" applyAlignment="1">
      <alignment horizontal="left" vertical="center"/>
    </xf>
    <xf numFmtId="0" fontId="33" fillId="0" borderId="0" xfId="0" applyFont="1" applyAlignment="1" applyProtection="1">
      <alignment horizontal="left" vertical="center" wrapText="1"/>
      <protection locked="0"/>
    </xf>
    <xf numFmtId="0" fontId="35" fillId="0" borderId="0" xfId="0" applyFont="1" applyAlignment="1" applyProtection="1">
      <alignment horizontal="left" vertical="center"/>
      <protection locked="0"/>
    </xf>
    <xf numFmtId="0" fontId="29" fillId="0" borderId="0" xfId="0" applyFont="1" applyAlignment="1" applyProtection="1">
      <alignment horizontal="left" vertical="center"/>
      <protection locked="0"/>
    </xf>
    <xf numFmtId="0" fontId="29" fillId="0" borderId="0" xfId="0" applyFont="1" applyAlignment="1" applyProtection="1">
      <alignment horizontal="left" vertical="center" wrapText="1"/>
      <protection locked="0"/>
    </xf>
    <xf numFmtId="0" fontId="37" fillId="0" borderId="0" xfId="0" applyFont="1"/>
    <xf numFmtId="0" fontId="37" fillId="0" borderId="0" xfId="0" applyFont="1" applyAlignment="1">
      <alignment horizontal="center"/>
    </xf>
    <xf numFmtId="166" fontId="37" fillId="0" borderId="0" xfId="0" applyNumberFormat="1" applyFont="1" applyAlignment="1">
      <alignment horizontal="center"/>
    </xf>
    <xf numFmtId="0" fontId="38" fillId="0" borderId="0" xfId="0" applyFont="1" applyAlignment="1">
      <alignment horizontal="center"/>
    </xf>
    <xf numFmtId="0" fontId="0" fillId="12" borderId="0" xfId="0" applyFill="1"/>
    <xf numFmtId="4" fontId="0" fillId="0" borderId="0" xfId="0" applyNumberFormat="1"/>
    <xf numFmtId="0" fontId="38" fillId="12" borderId="0" xfId="0" applyFont="1" applyFill="1" applyAlignment="1">
      <alignment horizontal="center"/>
    </xf>
    <xf numFmtId="4" fontId="27" fillId="0" borderId="0" xfId="0" applyNumberFormat="1" applyFont="1"/>
    <xf numFmtId="0" fontId="37" fillId="12" borderId="0" xfId="0" applyFont="1" applyFill="1"/>
    <xf numFmtId="166" fontId="37" fillId="12" borderId="0" xfId="0" applyNumberFormat="1" applyFont="1" applyFill="1" applyAlignment="1">
      <alignment horizontal="center"/>
    </xf>
    <xf numFmtId="166" fontId="38" fillId="12" borderId="0" xfId="0" applyNumberFormat="1" applyFont="1" applyFill="1" applyAlignment="1">
      <alignment horizontal="center"/>
    </xf>
    <xf numFmtId="0" fontId="27" fillId="12" borderId="0" xfId="0" applyFont="1" applyFill="1"/>
    <xf numFmtId="0" fontId="40" fillId="12" borderId="0" xfId="0" applyFont="1" applyFill="1" applyAlignment="1">
      <alignment horizontal="center" vertical="center"/>
    </xf>
    <xf numFmtId="4" fontId="41" fillId="12" borderId="0" xfId="0" applyNumberFormat="1" applyFont="1" applyFill="1" applyAlignment="1">
      <alignment horizontal="right" vertical="center"/>
    </xf>
    <xf numFmtId="0" fontId="41" fillId="12" borderId="0" xfId="0" applyFont="1" applyFill="1" applyAlignment="1">
      <alignment vertical="center"/>
    </xf>
    <xf numFmtId="0" fontId="27" fillId="0" borderId="0" xfId="0" applyFont="1" applyAlignment="1">
      <alignment horizontal="center"/>
    </xf>
    <xf numFmtId="0" fontId="27" fillId="0" borderId="0" xfId="0" applyFont="1"/>
    <xf numFmtId="4" fontId="41" fillId="0" borderId="0" xfId="0" applyNumberFormat="1" applyFont="1" applyAlignment="1">
      <alignment horizontal="right" vertical="center"/>
    </xf>
    <xf numFmtId="0" fontId="41" fillId="0" borderId="0" xfId="0" applyFont="1" applyAlignment="1">
      <alignment vertical="center"/>
    </xf>
    <xf numFmtId="0" fontId="42" fillId="0" borderId="0" xfId="0" applyFont="1" applyAlignment="1">
      <alignment vertical="center"/>
    </xf>
    <xf numFmtId="4" fontId="42" fillId="0" borderId="0" xfId="0" applyNumberFormat="1" applyFont="1" applyAlignment="1">
      <alignment horizontal="right" vertical="center"/>
    </xf>
    <xf numFmtId="0" fontId="42" fillId="0" borderId="0" xfId="0" applyFont="1" applyAlignment="1" applyProtection="1">
      <alignment vertical="center"/>
      <protection locked="0"/>
    </xf>
    <xf numFmtId="4" fontId="42" fillId="0" borderId="0" xfId="0" applyNumberFormat="1" applyFont="1" applyAlignment="1" applyProtection="1">
      <alignment horizontal="right" vertical="center"/>
      <protection locked="0"/>
    </xf>
    <xf numFmtId="0" fontId="30" fillId="0" borderId="0" xfId="0" applyFont="1" applyAlignment="1">
      <alignment horizontal="center"/>
    </xf>
    <xf numFmtId="166" fontId="38" fillId="0" borderId="0" xfId="0" applyNumberFormat="1" applyFont="1" applyAlignment="1">
      <alignment horizontal="center"/>
    </xf>
    <xf numFmtId="0" fontId="40" fillId="0" borderId="0" xfId="0" applyFont="1" applyAlignment="1">
      <alignment horizontal="center" vertical="center"/>
    </xf>
    <xf numFmtId="165" fontId="32" fillId="0" borderId="0" xfId="0" applyNumberFormat="1" applyFont="1" applyAlignment="1">
      <alignment horizontal="center" vertical="center"/>
    </xf>
    <xf numFmtId="0" fontId="36" fillId="0" borderId="0" xfId="0" applyFont="1" applyAlignment="1">
      <alignment vertical="center" wrapText="1"/>
    </xf>
    <xf numFmtId="0" fontId="34" fillId="0" borderId="0" xfId="0" applyFont="1" applyAlignment="1">
      <alignment horizontal="center" vertical="center" wrapText="1"/>
    </xf>
    <xf numFmtId="0" fontId="30" fillId="12" borderId="0" xfId="0" applyFont="1" applyFill="1"/>
    <xf numFmtId="0" fontId="0" fillId="5" borderId="0" xfId="0" applyFill="1"/>
    <xf numFmtId="0" fontId="38" fillId="5" borderId="0" xfId="0" applyFont="1" applyFill="1" applyAlignment="1">
      <alignment horizontal="center"/>
    </xf>
    <xf numFmtId="0" fontId="37" fillId="5" borderId="0" xfId="0" applyFont="1" applyFill="1"/>
    <xf numFmtId="166" fontId="37" fillId="5" borderId="0" xfId="0" applyNumberFormat="1" applyFont="1" applyFill="1" applyAlignment="1">
      <alignment horizontal="center"/>
    </xf>
    <xf numFmtId="166" fontId="38" fillId="5" borderId="0" xfId="0" applyNumberFormat="1" applyFont="1" applyFill="1" applyAlignment="1">
      <alignment horizontal="center"/>
    </xf>
    <xf numFmtId="0" fontId="40" fillId="5" borderId="0" xfId="0" applyFont="1" applyFill="1" applyAlignment="1">
      <alignment horizontal="center" vertical="center"/>
    </xf>
    <xf numFmtId="4" fontId="41" fillId="5" borderId="0" xfId="0" applyNumberFormat="1" applyFont="1" applyFill="1" applyAlignment="1">
      <alignment horizontal="right" vertical="center"/>
    </xf>
    <xf numFmtId="0" fontId="41" fillId="5" borderId="0" xfId="0" applyFont="1" applyFill="1" applyAlignment="1">
      <alignment vertical="center"/>
    </xf>
    <xf numFmtId="166" fontId="44" fillId="12" borderId="0" xfId="0" applyNumberFormat="1" applyFont="1" applyFill="1" applyAlignment="1">
      <alignment horizontal="center"/>
    </xf>
    <xf numFmtId="0" fontId="44" fillId="0" borderId="0" xfId="0" applyFont="1" applyAlignment="1">
      <alignment horizontal="center"/>
    </xf>
    <xf numFmtId="0" fontId="45" fillId="12" borderId="0" xfId="0" applyFont="1" applyFill="1"/>
    <xf numFmtId="4" fontId="44" fillId="0" borderId="0" xfId="0" applyNumberFormat="1" applyFont="1"/>
    <xf numFmtId="0" fontId="45" fillId="0" borderId="0" xfId="0" applyFont="1"/>
    <xf numFmtId="166" fontId="45" fillId="12" borderId="0" xfId="0" applyNumberFormat="1" applyFont="1" applyFill="1" applyAlignment="1">
      <alignment horizontal="center"/>
    </xf>
    <xf numFmtId="0" fontId="45" fillId="0" borderId="0" xfId="0" applyFont="1" applyAlignment="1">
      <alignment horizontal="center"/>
    </xf>
    <xf numFmtId="0" fontId="46" fillId="12" borderId="0" xfId="0" applyFont="1" applyFill="1" applyAlignment="1">
      <alignment horizontal="center" vertical="center"/>
    </xf>
    <xf numFmtId="0" fontId="28" fillId="0" borderId="0" xfId="0" applyFont="1" applyProtection="1">
      <protection locked="0"/>
    </xf>
    <xf numFmtId="0" fontId="47" fillId="0" borderId="0" xfId="0" applyFont="1" applyAlignment="1" applyProtection="1">
      <alignment horizontal="center" vertical="center"/>
      <protection locked="0"/>
    </xf>
    <xf numFmtId="9" fontId="28" fillId="0" borderId="0" xfId="0" applyNumberFormat="1" applyFont="1" applyProtection="1">
      <protection locked="0"/>
    </xf>
    <xf numFmtId="0" fontId="48" fillId="0" borderId="0" xfId="0" applyFont="1" applyProtection="1">
      <protection locked="0"/>
    </xf>
    <xf numFmtId="165" fontId="31" fillId="0" borderId="0" xfId="0" applyNumberFormat="1" applyFont="1" applyAlignment="1">
      <alignment horizontal="center" vertical="center"/>
    </xf>
    <xf numFmtId="0" fontId="36" fillId="0" borderId="0" xfId="0" applyFont="1" applyAlignment="1">
      <alignment horizontal="center" vertical="center" wrapText="1"/>
    </xf>
    <xf numFmtId="0" fontId="2" fillId="7" borderId="35" xfId="0" applyFont="1" applyFill="1" applyBorder="1" applyAlignment="1">
      <alignment horizontal="right"/>
    </xf>
    <xf numFmtId="168" fontId="2" fillId="0" borderId="12" xfId="3" applyNumberFormat="1" applyFont="1" applyBorder="1" applyAlignment="1">
      <alignment horizontal="center" vertical="center"/>
    </xf>
    <xf numFmtId="168" fontId="2" fillId="9" borderId="2" xfId="0" applyNumberFormat="1" applyFont="1" applyFill="1" applyBorder="1"/>
    <xf numFmtId="2" fontId="2" fillId="9" borderId="2" xfId="0" applyNumberFormat="1" applyFont="1" applyFill="1" applyBorder="1"/>
    <xf numFmtId="2" fontId="2" fillId="3" borderId="2" xfId="0" applyNumberFormat="1" applyFont="1" applyFill="1" applyBorder="1" applyAlignment="1">
      <alignment horizontal="right"/>
    </xf>
    <xf numFmtId="0" fontId="2" fillId="12" borderId="10" xfId="0" applyFont="1" applyFill="1" applyBorder="1" applyAlignment="1">
      <alignment horizontal="right"/>
    </xf>
    <xf numFmtId="0" fontId="2" fillId="12" borderId="10" xfId="0" applyFont="1" applyFill="1" applyBorder="1"/>
    <xf numFmtId="44" fontId="2" fillId="12" borderId="2" xfId="0" applyNumberFormat="1" applyFont="1" applyFill="1" applyBorder="1" applyAlignment="1">
      <alignment horizontal="right"/>
    </xf>
    <xf numFmtId="0" fontId="2" fillId="12" borderId="2" xfId="0" applyFont="1" applyFill="1" applyBorder="1"/>
    <xf numFmtId="44" fontId="2" fillId="12" borderId="2" xfId="0" applyNumberFormat="1" applyFont="1" applyFill="1" applyBorder="1"/>
    <xf numFmtId="0" fontId="15" fillId="0" borderId="0" xfId="0" applyFont="1" applyAlignment="1">
      <alignment horizontal="right"/>
    </xf>
    <xf numFmtId="168" fontId="2" fillId="9" borderId="30" xfId="0" applyNumberFormat="1" applyFont="1" applyFill="1" applyBorder="1" applyAlignment="1">
      <alignment horizontal="center" vertical="center" wrapText="1"/>
    </xf>
    <xf numFmtId="2" fontId="2" fillId="9" borderId="30" xfId="0" applyNumberFormat="1" applyFont="1" applyFill="1" applyBorder="1" applyAlignment="1">
      <alignment horizontal="center" vertical="center" wrapText="1"/>
    </xf>
    <xf numFmtId="0" fontId="2" fillId="9" borderId="2" xfId="0" applyFont="1" applyFill="1" applyBorder="1" applyAlignment="1">
      <alignment wrapText="1"/>
    </xf>
    <xf numFmtId="0" fontId="2" fillId="7" borderId="0" xfId="0" applyFont="1" applyFill="1" applyAlignment="1">
      <alignment wrapText="1"/>
    </xf>
    <xf numFmtId="0" fontId="2" fillId="4" borderId="6" xfId="0" applyFont="1" applyFill="1" applyBorder="1" applyAlignment="1">
      <alignment wrapText="1"/>
    </xf>
    <xf numFmtId="0" fontId="4" fillId="7" borderId="2" xfId="0" applyFont="1" applyFill="1" applyBorder="1" applyAlignment="1">
      <alignment wrapText="1"/>
    </xf>
    <xf numFmtId="0" fontId="2" fillId="7" borderId="2" xfId="0" applyFont="1" applyFill="1" applyBorder="1" applyAlignment="1">
      <alignment wrapText="1"/>
    </xf>
    <xf numFmtId="0" fontId="2" fillId="7" borderId="9" xfId="0" applyFont="1" applyFill="1" applyBorder="1" applyAlignment="1">
      <alignment wrapText="1"/>
    </xf>
    <xf numFmtId="2" fontId="2" fillId="9" borderId="33" xfId="0" applyNumberFormat="1" applyFont="1" applyFill="1" applyBorder="1" applyAlignment="1">
      <alignment horizontal="center" vertical="center" wrapText="1"/>
    </xf>
    <xf numFmtId="168" fontId="2" fillId="0" borderId="12" xfId="3" applyNumberFormat="1" applyFont="1" applyFill="1" applyBorder="1" applyAlignment="1">
      <alignment horizontal="center" vertical="center"/>
    </xf>
    <xf numFmtId="2" fontId="2" fillId="9" borderId="31" xfId="0" applyNumberFormat="1" applyFont="1" applyFill="1" applyBorder="1" applyAlignment="1">
      <alignment horizontal="center" vertical="center" wrapText="1"/>
    </xf>
    <xf numFmtId="0" fontId="2" fillId="7" borderId="0" xfId="0" applyFont="1" applyFill="1" applyAlignment="1">
      <alignment horizontal="center"/>
    </xf>
    <xf numFmtId="0" fontId="53" fillId="7" borderId="0" xfId="0" applyFont="1" applyFill="1" applyAlignment="1">
      <alignment horizontal="center"/>
    </xf>
    <xf numFmtId="0" fontId="2" fillId="0" borderId="4" xfId="0" applyFont="1" applyBorder="1" applyAlignment="1">
      <alignment horizontal="center"/>
    </xf>
    <xf numFmtId="0" fontId="2" fillId="9" borderId="4" xfId="0" applyFont="1" applyFill="1" applyBorder="1" applyAlignment="1">
      <alignment horizontal="center"/>
    </xf>
    <xf numFmtId="0" fontId="2" fillId="9" borderId="35" xfId="0" applyFont="1" applyFill="1" applyBorder="1" applyAlignment="1">
      <alignment horizontal="center"/>
    </xf>
    <xf numFmtId="0" fontId="2" fillId="7" borderId="4" xfId="0" applyFont="1" applyFill="1" applyBorder="1" applyAlignment="1">
      <alignment horizontal="center"/>
    </xf>
    <xf numFmtId="0" fontId="2" fillId="4" borderId="5" xfId="0" applyFont="1" applyFill="1" applyBorder="1" applyAlignment="1">
      <alignment horizontal="center"/>
    </xf>
    <xf numFmtId="0" fontId="4" fillId="7" borderId="4" xfId="0" applyFont="1" applyFill="1" applyBorder="1" applyAlignment="1">
      <alignment horizontal="center"/>
    </xf>
    <xf numFmtId="0" fontId="2" fillId="0" borderId="5" xfId="0" applyFont="1" applyBorder="1" applyAlignment="1">
      <alignment horizontal="center"/>
    </xf>
    <xf numFmtId="0" fontId="2" fillId="4" borderId="0" xfId="0" applyFont="1" applyFill="1" applyAlignment="1">
      <alignment horizontal="center"/>
    </xf>
    <xf numFmtId="0" fontId="3" fillId="0" borderId="4" xfId="0" applyFont="1" applyBorder="1" applyAlignment="1">
      <alignment horizontal="center"/>
    </xf>
    <xf numFmtId="0" fontId="50" fillId="9" borderId="2" xfId="0" applyFont="1" applyFill="1" applyBorder="1" applyAlignment="1">
      <alignment horizontal="center" wrapText="1"/>
    </xf>
    <xf numFmtId="0" fontId="2" fillId="4" borderId="4" xfId="0" applyFont="1" applyFill="1" applyBorder="1" applyAlignment="1">
      <alignment horizontal="center"/>
    </xf>
    <xf numFmtId="0" fontId="2" fillId="4" borderId="2" xfId="0" applyFont="1" applyFill="1" applyBorder="1" applyAlignment="1">
      <alignment horizontal="center" wrapText="1"/>
    </xf>
    <xf numFmtId="0" fontId="0" fillId="7" borderId="0" xfId="0" applyFill="1" applyAlignment="1">
      <alignment wrapText="1"/>
    </xf>
    <xf numFmtId="0" fontId="7" fillId="9" borderId="2" xfId="0" applyFont="1" applyFill="1" applyBorder="1" applyAlignment="1">
      <alignment wrapText="1"/>
    </xf>
    <xf numFmtId="0" fontId="2" fillId="7" borderId="4" xfId="0" applyFont="1" applyFill="1" applyBorder="1" applyAlignment="1">
      <alignment wrapText="1"/>
    </xf>
    <xf numFmtId="0" fontId="2" fillId="0" borderId="6" xfId="0" applyFont="1" applyBorder="1" applyAlignment="1">
      <alignment wrapText="1"/>
    </xf>
    <xf numFmtId="0" fontId="14" fillId="7" borderId="2" xfId="0" applyFont="1" applyFill="1" applyBorder="1" applyAlignment="1">
      <alignment wrapText="1"/>
    </xf>
    <xf numFmtId="0" fontId="0" fillId="7" borderId="1" xfId="0" applyFill="1" applyBorder="1" applyAlignment="1">
      <alignment wrapText="1"/>
    </xf>
    <xf numFmtId="0" fontId="8" fillId="9" borderId="2" xfId="0" applyFont="1" applyFill="1" applyBorder="1" applyAlignment="1">
      <alignment wrapText="1"/>
    </xf>
    <xf numFmtId="0" fontId="2" fillId="7" borderId="34" xfId="0" applyFont="1" applyFill="1" applyBorder="1" applyAlignment="1">
      <alignment wrapText="1"/>
    </xf>
    <xf numFmtId="0" fontId="50" fillId="0" borderId="2" xfId="0" applyFont="1" applyBorder="1" applyAlignment="1">
      <alignment horizontal="center" wrapText="1"/>
    </xf>
    <xf numFmtId="0" fontId="50" fillId="7" borderId="2" xfId="0" applyFont="1" applyFill="1" applyBorder="1" applyAlignment="1">
      <alignment horizontal="center" wrapText="1"/>
    </xf>
    <xf numFmtId="0" fontId="50" fillId="4" borderId="2" xfId="0" applyFont="1" applyFill="1" applyBorder="1" applyAlignment="1">
      <alignment horizontal="center" wrapText="1"/>
    </xf>
    <xf numFmtId="0" fontId="51" fillId="7" borderId="2" xfId="0" applyFont="1" applyFill="1" applyBorder="1" applyAlignment="1">
      <alignment horizontal="center" wrapText="1"/>
    </xf>
    <xf numFmtId="0" fontId="2" fillId="9" borderId="2" xfId="0" applyFont="1" applyFill="1" applyBorder="1" applyAlignment="1">
      <alignment horizontal="center" wrapText="1"/>
    </xf>
    <xf numFmtId="0" fontId="52" fillId="0" borderId="2" xfId="0" applyFont="1" applyBorder="1" applyAlignment="1">
      <alignment horizontal="center" wrapText="1"/>
    </xf>
    <xf numFmtId="0" fontId="54" fillId="0" borderId="2" xfId="0" applyFont="1" applyBorder="1" applyAlignment="1">
      <alignment horizontal="center" wrapText="1"/>
    </xf>
    <xf numFmtId="0" fontId="0" fillId="0" borderId="2" xfId="0" applyBorder="1" applyAlignment="1">
      <alignment wrapText="1"/>
    </xf>
    <xf numFmtId="0" fontId="53" fillId="7" borderId="2" xfId="0" applyFont="1" applyFill="1" applyBorder="1" applyAlignment="1">
      <alignment horizontal="center" wrapText="1"/>
    </xf>
    <xf numFmtId="0" fontId="58" fillId="0" borderId="38" xfId="0" applyFont="1" applyBorder="1" applyAlignment="1">
      <alignment vertical="center" wrapText="1"/>
    </xf>
    <xf numFmtId="0" fontId="19" fillId="4" borderId="4" xfId="0" applyFont="1" applyFill="1" applyBorder="1" applyAlignment="1">
      <alignment horizontal="center" wrapText="1"/>
    </xf>
    <xf numFmtId="0" fontId="19" fillId="4" borderId="2" xfId="0" applyFont="1" applyFill="1" applyBorder="1" applyAlignment="1">
      <alignment horizontal="center" wrapText="1"/>
    </xf>
    <xf numFmtId="0" fontId="56" fillId="4" borderId="2" xfId="0" applyFont="1" applyFill="1" applyBorder="1" applyAlignment="1">
      <alignment horizontal="center"/>
    </xf>
    <xf numFmtId="0" fontId="2" fillId="9" borderId="6" xfId="0" applyFont="1" applyFill="1" applyBorder="1" applyAlignment="1">
      <alignment wrapText="1"/>
    </xf>
    <xf numFmtId="2" fontId="2" fillId="3" borderId="2" xfId="0" applyNumberFormat="1" applyFont="1" applyFill="1" applyBorder="1"/>
    <xf numFmtId="168" fontId="2" fillId="3" borderId="2" xfId="0" applyNumberFormat="1" applyFont="1" applyFill="1" applyBorder="1" applyAlignment="1">
      <alignment horizontal="right"/>
    </xf>
    <xf numFmtId="168" fontId="2" fillId="3" borderId="2" xfId="0" applyNumberFormat="1" applyFont="1" applyFill="1" applyBorder="1"/>
    <xf numFmtId="1" fontId="2" fillId="3" borderId="2" xfId="0" applyNumberFormat="1" applyFont="1" applyFill="1" applyBorder="1"/>
    <xf numFmtId="2" fontId="2" fillId="2" borderId="6" xfId="0" applyNumberFormat="1" applyFont="1" applyFill="1" applyBorder="1"/>
    <xf numFmtId="10" fontId="4" fillId="2" borderId="2" xfId="0" applyNumberFormat="1" applyFont="1" applyFill="1" applyBorder="1"/>
    <xf numFmtId="168" fontId="2" fillId="9" borderId="2" xfId="0" applyNumberFormat="1" applyFont="1" applyFill="1" applyBorder="1" applyAlignment="1">
      <alignment horizontal="right"/>
    </xf>
    <xf numFmtId="10" fontId="2" fillId="2" borderId="2" xfId="0" applyNumberFormat="1" applyFont="1" applyFill="1" applyBorder="1"/>
    <xf numFmtId="9" fontId="2" fillId="2" borderId="2" xfId="0" applyNumberFormat="1" applyFont="1" applyFill="1" applyBorder="1"/>
    <xf numFmtId="1" fontId="2" fillId="3" borderId="10" xfId="0" applyNumberFormat="1" applyFont="1" applyFill="1" applyBorder="1"/>
    <xf numFmtId="1" fontId="2" fillId="2" borderId="10" xfId="0" applyNumberFormat="1" applyFont="1" applyFill="1" applyBorder="1" applyAlignment="1">
      <alignment horizontal="right"/>
    </xf>
    <xf numFmtId="1" fontId="2" fillId="2" borderId="2" xfId="0" applyNumberFormat="1" applyFont="1" applyFill="1" applyBorder="1"/>
    <xf numFmtId="1" fontId="2" fillId="2" borderId="10" xfId="0" applyNumberFormat="1" applyFont="1" applyFill="1" applyBorder="1"/>
    <xf numFmtId="1" fontId="2" fillId="9" borderId="2" xfId="3" applyNumberFormat="1" applyFont="1" applyFill="1" applyBorder="1" applyAlignment="1">
      <alignment horizontal="right"/>
    </xf>
    <xf numFmtId="1" fontId="2" fillId="2" borderId="2" xfId="0" applyNumberFormat="1" applyFont="1" applyFill="1" applyBorder="1" applyAlignment="1">
      <alignment horizontal="right"/>
    </xf>
    <xf numFmtId="1" fontId="3" fillId="2" borderId="2" xfId="0" applyNumberFormat="1" applyFont="1" applyFill="1" applyBorder="1"/>
    <xf numFmtId="0" fontId="57" fillId="10" borderId="35" xfId="0" applyFont="1" applyFill="1" applyBorder="1" applyAlignment="1">
      <alignment horizontal="right" wrapText="1"/>
    </xf>
    <xf numFmtId="44" fontId="57" fillId="11" borderId="2" xfId="0" applyNumberFormat="1" applyFont="1" applyFill="1" applyBorder="1" applyAlignment="1">
      <alignment horizontal="right"/>
    </xf>
    <xf numFmtId="0" fontId="2" fillId="7" borderId="3" xfId="0" applyFont="1" applyFill="1" applyBorder="1" applyAlignment="1">
      <alignment wrapText="1"/>
    </xf>
    <xf numFmtId="44" fontId="4" fillId="10" borderId="4" xfId="0" applyNumberFormat="1" applyFont="1" applyFill="1" applyBorder="1" applyAlignment="1">
      <alignment wrapText="1"/>
    </xf>
    <xf numFmtId="0" fontId="0" fillId="11" borderId="5" xfId="0" applyFill="1" applyBorder="1"/>
    <xf numFmtId="0" fontId="28" fillId="11" borderId="6" xfId="0" applyFont="1" applyFill="1" applyBorder="1" applyAlignment="1">
      <alignment horizontal="center" wrapText="1"/>
    </xf>
    <xf numFmtId="168" fontId="2" fillId="2" borderId="2" xfId="2" applyNumberFormat="1" applyFont="1" applyFill="1" applyBorder="1" applyAlignment="1">
      <alignment horizontal="right"/>
    </xf>
    <xf numFmtId="0" fontId="55" fillId="3" borderId="2" xfId="0" applyFont="1" applyFill="1" applyBorder="1" applyAlignment="1">
      <alignment vertical="center"/>
    </xf>
    <xf numFmtId="0" fontId="16" fillId="2" borderId="2" xfId="0" applyFont="1" applyFill="1" applyBorder="1" applyAlignment="1">
      <alignment vertical="center" wrapText="1"/>
    </xf>
    <xf numFmtId="0" fontId="16" fillId="6" borderId="2" xfId="0" applyFont="1" applyFill="1" applyBorder="1" applyAlignment="1">
      <alignment vertical="center"/>
    </xf>
    <xf numFmtId="0" fontId="16" fillId="9" borderId="2" xfId="0" applyFont="1" applyFill="1" applyBorder="1" applyAlignment="1">
      <alignment vertical="center"/>
    </xf>
    <xf numFmtId="0" fontId="2" fillId="2" borderId="2" xfId="0" applyFont="1" applyFill="1" applyBorder="1" applyAlignment="1">
      <alignment wrapText="1"/>
    </xf>
    <xf numFmtId="168" fontId="2" fillId="3" borderId="12" xfId="3" applyNumberFormat="1" applyFont="1" applyFill="1" applyBorder="1" applyAlignment="1">
      <alignment horizontal="center"/>
    </xf>
    <xf numFmtId="168" fontId="2" fillId="3" borderId="12" xfId="3" applyNumberFormat="1" applyFont="1" applyFill="1" applyBorder="1" applyAlignment="1">
      <alignment horizontal="center" vertical="center"/>
    </xf>
    <xf numFmtId="168" fontId="2" fillId="0" borderId="11" xfId="3" applyNumberFormat="1" applyFont="1" applyBorder="1" applyAlignment="1">
      <alignment horizontal="center" vertical="top"/>
    </xf>
    <xf numFmtId="168" fontId="2" fillId="0" borderId="11" xfId="3" applyNumberFormat="1" applyFont="1" applyBorder="1" applyAlignment="1">
      <alignment horizontal="center" vertical="center"/>
    </xf>
    <xf numFmtId="168" fontId="2" fillId="3" borderId="11" xfId="3" applyNumberFormat="1" applyFont="1" applyFill="1" applyBorder="1" applyAlignment="1">
      <alignment horizontal="center" vertical="center"/>
    </xf>
    <xf numFmtId="168" fontId="2" fillId="3" borderId="11" xfId="3" applyNumberFormat="1" applyFont="1" applyFill="1" applyBorder="1" applyAlignment="1">
      <alignment horizontal="center"/>
    </xf>
    <xf numFmtId="168" fontId="2" fillId="3" borderId="11" xfId="3" applyNumberFormat="1" applyFont="1" applyFill="1" applyBorder="1" applyAlignment="1">
      <alignment horizontal="center" vertical="top"/>
    </xf>
    <xf numFmtId="168" fontId="6" fillId="9" borderId="11" xfId="3" applyNumberFormat="1" applyFont="1" applyFill="1" applyBorder="1" applyAlignment="1">
      <alignment horizontal="center" vertical="center"/>
    </xf>
    <xf numFmtId="168" fontId="2" fillId="9" borderId="12" xfId="3" applyNumberFormat="1" applyFont="1" applyFill="1" applyBorder="1" applyAlignment="1">
      <alignment horizontal="center" vertical="center"/>
    </xf>
    <xf numFmtId="1" fontId="2" fillId="13" borderId="0" xfId="3" applyNumberFormat="1" applyFont="1" applyFill="1" applyAlignment="1">
      <alignment horizontal="center" vertical="top"/>
    </xf>
    <xf numFmtId="164" fontId="2" fillId="13" borderId="0" xfId="3" applyNumberFormat="1" applyFont="1" applyFill="1" applyAlignment="1">
      <alignment horizontal="center"/>
    </xf>
    <xf numFmtId="164" fontId="2" fillId="13" borderId="0" xfId="3" applyNumberFormat="1" applyFont="1" applyFill="1" applyAlignment="1">
      <alignment horizontal="center" vertical="top"/>
    </xf>
    <xf numFmtId="9" fontId="2" fillId="2" borderId="6" xfId="2" applyFont="1" applyFill="1" applyBorder="1" applyAlignment="1"/>
    <xf numFmtId="168" fontId="2" fillId="2" borderId="2" xfId="0" applyNumberFormat="1" applyFont="1" applyFill="1" applyBorder="1" applyAlignment="1">
      <alignment horizontal="right"/>
    </xf>
    <xf numFmtId="168" fontId="2" fillId="3" borderId="10" xfId="0" applyNumberFormat="1" applyFont="1" applyFill="1" applyBorder="1" applyAlignment="1">
      <alignment horizontal="right"/>
    </xf>
    <xf numFmtId="168" fontId="2" fillId="8" borderId="2" xfId="0" applyNumberFormat="1" applyFont="1" applyFill="1" applyBorder="1" applyAlignment="1">
      <alignment horizontal="right"/>
    </xf>
    <xf numFmtId="1" fontId="2" fillId="8" borderId="2" xfId="0" applyNumberFormat="1" applyFont="1" applyFill="1" applyBorder="1" applyAlignment="1">
      <alignment horizontal="right"/>
    </xf>
    <xf numFmtId="168" fontId="2" fillId="3" borderId="2" xfId="0" applyNumberFormat="1" applyFont="1" applyFill="1" applyBorder="1" applyAlignment="1">
      <alignment horizontal="center"/>
    </xf>
    <xf numFmtId="1" fontId="2" fillId="12" borderId="2" xfId="0" applyNumberFormat="1" applyFont="1" applyFill="1" applyBorder="1" applyAlignment="1">
      <alignment horizontal="right"/>
    </xf>
    <xf numFmtId="1" fontId="2" fillId="12" borderId="2" xfId="0" applyNumberFormat="1" applyFont="1" applyFill="1" applyBorder="1"/>
    <xf numFmtId="1" fontId="2" fillId="0" borderId="0" xfId="0" applyNumberFormat="1" applyFont="1" applyAlignment="1">
      <alignment vertical="top"/>
    </xf>
    <xf numFmtId="0" fontId="6" fillId="9" borderId="36" xfId="0" applyFont="1" applyFill="1" applyBorder="1" applyAlignment="1">
      <alignment horizontal="center" vertical="center"/>
    </xf>
    <xf numFmtId="1" fontId="6" fillId="9" borderId="36" xfId="3" applyNumberFormat="1" applyFont="1" applyFill="1" applyBorder="1" applyAlignment="1">
      <alignment horizontal="center" vertical="center"/>
    </xf>
    <xf numFmtId="0" fontId="20" fillId="13" borderId="4" xfId="0" applyFont="1" applyFill="1" applyBorder="1" applyAlignment="1">
      <alignment vertical="center"/>
    </xf>
    <xf numFmtId="0" fontId="6" fillId="13" borderId="5" xfId="0" applyFont="1" applyFill="1" applyBorder="1" applyAlignment="1">
      <alignment vertical="center"/>
    </xf>
    <xf numFmtId="168" fontId="6" fillId="13" borderId="2" xfId="3" applyNumberFormat="1" applyFont="1" applyFill="1" applyBorder="1" applyAlignment="1">
      <alignment horizontal="center" vertical="center"/>
    </xf>
    <xf numFmtId="0" fontId="11" fillId="4" borderId="25" xfId="0" applyFont="1" applyFill="1" applyBorder="1" applyAlignment="1">
      <alignment horizontal="center" vertical="center" wrapText="1"/>
    </xf>
    <xf numFmtId="1" fontId="7" fillId="3" borderId="2" xfId="3" applyNumberFormat="1" applyFont="1" applyFill="1" applyBorder="1" applyAlignment="1">
      <alignment horizontal="center" vertical="center" wrapText="1"/>
    </xf>
    <xf numFmtId="1" fontId="2" fillId="3" borderId="12" xfId="3" applyNumberFormat="1" applyFont="1" applyFill="1" applyBorder="1" applyAlignment="1">
      <alignment horizontal="center" vertical="top"/>
    </xf>
    <xf numFmtId="1" fontId="2" fillId="3" borderId="11" xfId="3" applyNumberFormat="1" applyFont="1" applyFill="1" applyBorder="1" applyAlignment="1">
      <alignment horizontal="center" vertical="top"/>
    </xf>
    <xf numFmtId="1" fontId="2" fillId="3" borderId="0" xfId="0" applyNumberFormat="1" applyFont="1" applyFill="1" applyAlignment="1">
      <alignment vertical="top"/>
    </xf>
    <xf numFmtId="168" fontId="2" fillId="12" borderId="10" xfId="0" applyNumberFormat="1" applyFont="1" applyFill="1" applyBorder="1" applyAlignment="1">
      <alignment horizontal="right"/>
    </xf>
    <xf numFmtId="168" fontId="2" fillId="12" borderId="2" xfId="0" applyNumberFormat="1" applyFont="1" applyFill="1" applyBorder="1" applyAlignment="1">
      <alignment horizontal="right"/>
    </xf>
    <xf numFmtId="9" fontId="2" fillId="12" borderId="2" xfId="2" applyFont="1" applyFill="1" applyBorder="1" applyAlignment="1">
      <alignment horizontal="right"/>
    </xf>
    <xf numFmtId="0" fontId="2" fillId="12" borderId="2" xfId="0" applyFont="1" applyFill="1" applyBorder="1" applyAlignment="1">
      <alignment wrapText="1"/>
    </xf>
    <xf numFmtId="44" fontId="2" fillId="8" borderId="2" xfId="0" applyNumberFormat="1" applyFont="1" applyFill="1" applyBorder="1" applyAlignment="1">
      <alignment horizontal="right"/>
    </xf>
    <xf numFmtId="44" fontId="3" fillId="9" borderId="2" xfId="0" applyNumberFormat="1" applyFont="1" applyFill="1" applyBorder="1" applyAlignment="1">
      <alignment horizontal="right"/>
    </xf>
    <xf numFmtId="44" fontId="57" fillId="10" borderId="0" xfId="0" applyNumberFormat="1" applyFont="1" applyFill="1"/>
    <xf numFmtId="0" fontId="28" fillId="0" borderId="0" xfId="0" applyFont="1"/>
    <xf numFmtId="0" fontId="3" fillId="0" borderId="2" xfId="0" applyFont="1" applyBorder="1" applyAlignment="1">
      <alignment wrapText="1"/>
    </xf>
    <xf numFmtId="2" fontId="4" fillId="3" borderId="2" xfId="0" applyNumberFormat="1" applyFont="1" applyFill="1" applyBorder="1" applyAlignment="1">
      <alignment horizontal="right"/>
    </xf>
    <xf numFmtId="2" fontId="4" fillId="3" borderId="2" xfId="0" applyNumberFormat="1" applyFont="1" applyFill="1" applyBorder="1"/>
    <xf numFmtId="0" fontId="3" fillId="3" borderId="2" xfId="0" applyFont="1" applyFill="1" applyBorder="1" applyAlignment="1">
      <alignment wrapText="1"/>
    </xf>
    <xf numFmtId="0" fontId="3" fillId="3" borderId="4" xfId="0" applyFont="1" applyFill="1" applyBorder="1" applyAlignment="1">
      <alignment horizontal="center"/>
    </xf>
    <xf numFmtId="0" fontId="54" fillId="3" borderId="2" xfId="0" applyFont="1" applyFill="1" applyBorder="1" applyAlignment="1">
      <alignment horizontal="center" wrapText="1"/>
    </xf>
    <xf numFmtId="1" fontId="2" fillId="9" borderId="10" xfId="0" applyNumberFormat="1" applyFont="1" applyFill="1" applyBorder="1" applyAlignment="1">
      <alignment horizontal="right"/>
    </xf>
    <xf numFmtId="1" fontId="2" fillId="9" borderId="10" xfId="0" applyNumberFormat="1" applyFont="1" applyFill="1" applyBorder="1"/>
    <xf numFmtId="0" fontId="11" fillId="0" borderId="26" xfId="0" applyFont="1" applyBorder="1" applyAlignment="1">
      <alignment horizontal="center" wrapText="1"/>
    </xf>
    <xf numFmtId="0" fontId="2" fillId="0" borderId="40" xfId="0" applyFont="1" applyBorder="1"/>
    <xf numFmtId="0" fontId="2" fillId="2" borderId="18" xfId="0" applyFont="1" applyFill="1" applyBorder="1"/>
    <xf numFmtId="0" fontId="2" fillId="0" borderId="18" xfId="0" applyFont="1" applyBorder="1"/>
    <xf numFmtId="0" fontId="3" fillId="0" borderId="18" xfId="0" applyFont="1" applyBorder="1"/>
    <xf numFmtId="0" fontId="2" fillId="2" borderId="42" xfId="0" applyFont="1" applyFill="1" applyBorder="1"/>
    <xf numFmtId="0" fontId="60" fillId="4" borderId="2" xfId="0" applyFont="1" applyFill="1" applyBorder="1" applyAlignment="1">
      <alignment horizontal="center" vertical="center" wrapText="1"/>
    </xf>
    <xf numFmtId="0" fontId="62" fillId="7" borderId="43" xfId="0" applyFont="1" applyFill="1" applyBorder="1" applyAlignment="1">
      <alignment horizontal="center" vertical="center" wrapText="1"/>
    </xf>
    <xf numFmtId="0" fontId="57" fillId="7" borderId="43" xfId="0" applyFont="1" applyFill="1" applyBorder="1" applyAlignment="1">
      <alignment horizontal="left" vertical="center" wrapText="1"/>
    </xf>
    <xf numFmtId="0" fontId="6" fillId="2" borderId="37" xfId="0" applyFont="1" applyFill="1" applyBorder="1" applyAlignment="1">
      <alignment horizontal="right" vertical="center"/>
    </xf>
    <xf numFmtId="44" fontId="6" fillId="2" borderId="19" xfId="0" applyNumberFormat="1" applyFont="1" applyFill="1" applyBorder="1" applyAlignment="1">
      <alignment horizontal="right" vertical="center"/>
    </xf>
    <xf numFmtId="44" fontId="6" fillId="2" borderId="24" xfId="0" applyNumberFormat="1" applyFont="1" applyFill="1" applyBorder="1" applyAlignment="1">
      <alignment horizontal="right" vertical="center"/>
    </xf>
    <xf numFmtId="0" fontId="2" fillId="0" borderId="26" xfId="0" applyFont="1" applyBorder="1" applyAlignment="1">
      <alignment vertical="center"/>
    </xf>
    <xf numFmtId="0" fontId="2" fillId="0" borderId="18" xfId="0" applyFont="1" applyBorder="1" applyAlignment="1">
      <alignment vertical="center"/>
    </xf>
    <xf numFmtId="0" fontId="2" fillId="0" borderId="20" xfId="0" applyFont="1" applyBorder="1" applyAlignment="1">
      <alignment vertical="center"/>
    </xf>
    <xf numFmtId="43" fontId="2" fillId="0" borderId="12" xfId="3" applyFont="1" applyBorder="1" applyAlignment="1">
      <alignment vertical="center"/>
    </xf>
    <xf numFmtId="43" fontId="2" fillId="5" borderId="12" xfId="3" applyFont="1" applyFill="1" applyBorder="1" applyAlignment="1">
      <alignment horizontal="center" vertical="center" wrapText="1"/>
    </xf>
    <xf numFmtId="43" fontId="2" fillId="0" borderId="30" xfId="3" applyFont="1" applyBorder="1" applyAlignment="1">
      <alignment vertical="center"/>
    </xf>
    <xf numFmtId="43" fontId="2" fillId="0" borderId="28" xfId="3" applyFont="1" applyBorder="1" applyAlignment="1">
      <alignment vertical="center"/>
    </xf>
    <xf numFmtId="43" fontId="2" fillId="0" borderId="11" xfId="3" applyFont="1" applyBorder="1" applyAlignment="1">
      <alignment vertical="center"/>
    </xf>
    <xf numFmtId="43" fontId="2" fillId="0" borderId="22" xfId="3" applyFont="1" applyBorder="1" applyAlignment="1">
      <alignment vertical="center"/>
    </xf>
    <xf numFmtId="43" fontId="2" fillId="0" borderId="21" xfId="3" applyFont="1" applyBorder="1" applyAlignment="1">
      <alignment vertical="center"/>
    </xf>
    <xf numFmtId="43" fontId="2" fillId="0" borderId="23" xfId="3" applyFont="1" applyBorder="1" applyAlignment="1">
      <alignment vertical="center"/>
    </xf>
    <xf numFmtId="43" fontId="2" fillId="0" borderId="11" xfId="3" applyFont="1" applyBorder="1"/>
    <xf numFmtId="43" fontId="0" fillId="0" borderId="11" xfId="3" applyFont="1" applyBorder="1"/>
    <xf numFmtId="43" fontId="0" fillId="0" borderId="41" xfId="3" applyFont="1" applyBorder="1"/>
    <xf numFmtId="43" fontId="2" fillId="2" borderId="12" xfId="3" applyFont="1" applyFill="1" applyBorder="1"/>
    <xf numFmtId="43" fontId="2" fillId="0" borderId="11" xfId="3" applyFont="1" applyFill="1" applyBorder="1"/>
    <xf numFmtId="43" fontId="2" fillId="2" borderId="11" xfId="3" applyFont="1" applyFill="1" applyBorder="1"/>
    <xf numFmtId="43" fontId="2" fillId="2" borderId="36" xfId="3" applyFont="1" applyFill="1" applyBorder="1"/>
    <xf numFmtId="0" fontId="20" fillId="9" borderId="4" xfId="0" applyFont="1" applyFill="1" applyBorder="1" applyAlignment="1">
      <alignment horizontal="right" vertical="center"/>
    </xf>
    <xf numFmtId="44" fontId="64" fillId="9" borderId="44" xfId="0" applyNumberFormat="1" applyFont="1" applyFill="1" applyBorder="1" applyAlignment="1">
      <alignment horizontal="right" vertical="center"/>
    </xf>
    <xf numFmtId="0" fontId="61" fillId="0" borderId="0" xfId="0" applyFont="1" applyAlignment="1">
      <alignment wrapText="1"/>
    </xf>
    <xf numFmtId="0" fontId="62" fillId="7" borderId="45" xfId="0" applyFont="1" applyFill="1" applyBorder="1" applyAlignment="1">
      <alignment horizontal="center" vertical="center" wrapText="1"/>
    </xf>
    <xf numFmtId="0" fontId="30" fillId="12" borderId="0" xfId="0" applyFont="1" applyFill="1" applyAlignment="1">
      <alignment horizontal="center"/>
    </xf>
    <xf numFmtId="166" fontId="39" fillId="5" borderId="0" xfId="0" applyNumberFormat="1" applyFont="1" applyFill="1" applyAlignment="1">
      <alignment horizontal="center" vertical="center"/>
    </xf>
    <xf numFmtId="0" fontId="18" fillId="12" borderId="0" xfId="0" applyFont="1" applyFill="1" applyAlignment="1">
      <alignment horizontal="center"/>
    </xf>
    <xf numFmtId="166" fontId="39" fillId="12" borderId="0" xfId="0" applyNumberFormat="1" applyFont="1" applyFill="1" applyAlignment="1">
      <alignment horizontal="center" vertical="center"/>
    </xf>
    <xf numFmtId="0" fontId="18" fillId="5" borderId="0" xfId="0" applyFont="1" applyFill="1" applyAlignment="1">
      <alignment horizontal="center"/>
    </xf>
    <xf numFmtId="0" fontId="61" fillId="0" borderId="0" xfId="0" applyFont="1" applyAlignment="1">
      <alignment horizontal="center" wrapText="1"/>
    </xf>
    <xf numFmtId="0" fontId="6" fillId="0" borderId="0" xfId="0" applyFont="1" applyAlignment="1">
      <alignment horizontal="center" vertical="center" textRotation="90" wrapText="1"/>
    </xf>
    <xf numFmtId="0" fontId="0" fillId="9" borderId="0" xfId="0" applyFill="1" applyAlignment="1">
      <alignment wrapText="1"/>
    </xf>
    <xf numFmtId="0" fontId="6" fillId="9" borderId="0" xfId="0" applyFont="1" applyFill="1" applyAlignment="1">
      <alignment horizontal="center" textRotation="90" wrapText="1"/>
    </xf>
    <xf numFmtId="0" fontId="6" fillId="9" borderId="10" xfId="0" applyFont="1" applyFill="1" applyBorder="1" applyAlignment="1">
      <alignment textRotation="90" wrapText="1"/>
    </xf>
    <xf numFmtId="0" fontId="6" fillId="9" borderId="0" xfId="0" applyFont="1" applyFill="1" applyAlignment="1">
      <alignment textRotation="90" wrapText="1"/>
    </xf>
    <xf numFmtId="0" fontId="6" fillId="9" borderId="2" xfId="0" applyFont="1" applyFill="1" applyBorder="1" applyAlignment="1">
      <alignment textRotation="90" wrapText="1"/>
    </xf>
    <xf numFmtId="0" fontId="6" fillId="9" borderId="9" xfId="0" applyFont="1" applyFill="1" applyBorder="1" applyAlignment="1">
      <alignment vertical="center" textRotation="90" wrapText="1"/>
    </xf>
    <xf numFmtId="0" fontId="6" fillId="9" borderId="0" xfId="0" applyFont="1" applyFill="1" applyAlignment="1">
      <alignment vertical="center" textRotation="90" wrapText="1"/>
    </xf>
    <xf numFmtId="0" fontId="0" fillId="7" borderId="0" xfId="0" applyFill="1" applyAlignment="1">
      <alignment vertical="center" wrapText="1"/>
    </xf>
    <xf numFmtId="0" fontId="0" fillId="11" borderId="0" xfId="0" applyFill="1" applyAlignment="1">
      <alignment wrapText="1"/>
    </xf>
    <xf numFmtId="0" fontId="27" fillId="4" borderId="2" xfId="0" applyFont="1" applyFill="1" applyBorder="1" applyAlignment="1">
      <alignment horizontal="center"/>
    </xf>
    <xf numFmtId="0" fontId="66" fillId="3" borderId="2" xfId="0" applyFont="1" applyFill="1" applyBorder="1" applyAlignment="1">
      <alignment vertical="center"/>
    </xf>
    <xf numFmtId="0" fontId="27" fillId="2" borderId="2" xfId="0" applyFont="1" applyFill="1" applyBorder="1" applyAlignment="1">
      <alignment vertical="center" wrapText="1"/>
    </xf>
    <xf numFmtId="0" fontId="27" fillId="6" borderId="2" xfId="0" applyFont="1" applyFill="1" applyBorder="1" applyAlignment="1">
      <alignment vertical="center"/>
    </xf>
    <xf numFmtId="0" fontId="66" fillId="4" borderId="4" xfId="0" applyFont="1" applyFill="1" applyBorder="1" applyAlignment="1">
      <alignment horizontal="left" wrapText="1"/>
    </xf>
    <xf numFmtId="0" fontId="27" fillId="4" borderId="53" xfId="0" applyFont="1" applyFill="1" applyBorder="1" applyAlignment="1">
      <alignment horizontal="center" vertical="center" wrapText="1"/>
    </xf>
    <xf numFmtId="0" fontId="27" fillId="4" borderId="54" xfId="0" applyFont="1" applyFill="1" applyBorder="1" applyAlignment="1">
      <alignment horizontal="center" vertical="center" wrapText="1"/>
    </xf>
    <xf numFmtId="0" fontId="27" fillId="4" borderId="55" xfId="0" applyFont="1" applyFill="1" applyBorder="1" applyAlignment="1">
      <alignment horizontal="center" vertical="center" wrapText="1"/>
    </xf>
    <xf numFmtId="0" fontId="27" fillId="4" borderId="6" xfId="0" applyFont="1" applyFill="1" applyBorder="1" applyAlignment="1">
      <alignment horizontal="center" vertical="center" wrapText="1"/>
    </xf>
    <xf numFmtId="0" fontId="66" fillId="4" borderId="4" xfId="0" applyFont="1" applyFill="1" applyBorder="1" applyAlignment="1">
      <alignment horizontal="center" vertical="center" wrapText="1"/>
    </xf>
    <xf numFmtId="0" fontId="66" fillId="4" borderId="2" xfId="0" applyFont="1" applyFill="1" applyBorder="1" applyAlignment="1">
      <alignment horizontal="center" vertical="center" wrapText="1"/>
    </xf>
    <xf numFmtId="0" fontId="27" fillId="9" borderId="2" xfId="0" applyFont="1" applyFill="1" applyBorder="1" applyAlignment="1">
      <alignment vertical="center"/>
    </xf>
    <xf numFmtId="1" fontId="0" fillId="3" borderId="10" xfId="0" applyNumberFormat="1" applyFill="1" applyBorder="1" applyAlignment="1">
      <alignment horizontal="right"/>
    </xf>
    <xf numFmtId="1" fontId="0" fillId="3" borderId="10" xfId="0" applyNumberFormat="1" applyFill="1" applyBorder="1"/>
    <xf numFmtId="0" fontId="0" fillId="5" borderId="2" xfId="0" applyFill="1" applyBorder="1" applyAlignment="1">
      <alignment wrapText="1"/>
    </xf>
    <xf numFmtId="44" fontId="0" fillId="6" borderId="2" xfId="0" applyNumberFormat="1" applyFill="1" applyBorder="1" applyAlignment="1">
      <alignment horizontal="right"/>
    </xf>
    <xf numFmtId="44" fontId="0" fillId="6" borderId="2" xfId="0" applyNumberFormat="1" applyFill="1" applyBorder="1"/>
    <xf numFmtId="0" fontId="0" fillId="9" borderId="2" xfId="0" applyFill="1" applyBorder="1" applyAlignment="1">
      <alignment wrapText="1"/>
    </xf>
    <xf numFmtId="44" fontId="0" fillId="9" borderId="2" xfId="0" applyNumberFormat="1" applyFill="1" applyBorder="1" applyAlignment="1">
      <alignment horizontal="right"/>
    </xf>
    <xf numFmtId="1" fontId="0" fillId="3" borderId="2" xfId="0" applyNumberFormat="1" applyFill="1" applyBorder="1" applyAlignment="1">
      <alignment horizontal="right"/>
    </xf>
    <xf numFmtId="1" fontId="0" fillId="3" borderId="2" xfId="0" applyNumberFormat="1" applyFill="1" applyBorder="1"/>
    <xf numFmtId="2" fontId="0" fillId="3" borderId="2" xfId="0" applyNumberFormat="1" applyFill="1" applyBorder="1" applyAlignment="1">
      <alignment horizontal="right"/>
    </xf>
    <xf numFmtId="2" fontId="0" fillId="3" borderId="2" xfId="0" applyNumberFormat="1" applyFill="1" applyBorder="1"/>
    <xf numFmtId="0" fontId="17" fillId="0" borderId="2" xfId="0" applyFont="1" applyBorder="1" applyAlignment="1">
      <alignment wrapText="1"/>
    </xf>
    <xf numFmtId="2" fontId="28" fillId="3" borderId="2" xfId="0" applyNumberFormat="1" applyFont="1" applyFill="1" applyBorder="1" applyAlignment="1">
      <alignment horizontal="right"/>
    </xf>
    <xf numFmtId="2" fontId="28" fillId="3" borderId="2" xfId="0" applyNumberFormat="1" applyFont="1" applyFill="1" applyBorder="1"/>
    <xf numFmtId="0" fontId="17" fillId="3" borderId="2" xfId="0" applyFont="1" applyFill="1" applyBorder="1" applyAlignment="1">
      <alignment wrapText="1"/>
    </xf>
    <xf numFmtId="0" fontId="17" fillId="3" borderId="4" xfId="0" applyFont="1" applyFill="1" applyBorder="1" applyAlignment="1">
      <alignment horizontal="center"/>
    </xf>
    <xf numFmtId="0" fontId="17" fillId="3" borderId="2" xfId="0" applyFont="1" applyFill="1" applyBorder="1" applyAlignment="1">
      <alignment horizontal="center" wrapText="1"/>
    </xf>
    <xf numFmtId="0" fontId="0" fillId="0" borderId="0" xfId="0" applyAlignment="1">
      <alignment horizontal="center" vertical="center" textRotation="90" wrapText="1"/>
    </xf>
    <xf numFmtId="0" fontId="0" fillId="7" borderId="0" xfId="0" applyFill="1" applyAlignment="1">
      <alignment horizontal="right"/>
    </xf>
    <xf numFmtId="0" fontId="27" fillId="9" borderId="2" xfId="0" applyFont="1" applyFill="1" applyBorder="1" applyAlignment="1">
      <alignment wrapText="1"/>
    </xf>
    <xf numFmtId="1" fontId="0" fillId="9" borderId="2" xfId="0" applyNumberFormat="1" applyFill="1" applyBorder="1" applyAlignment="1">
      <alignment horizontal="right"/>
    </xf>
    <xf numFmtId="168" fontId="0" fillId="9" borderId="2" xfId="0" applyNumberFormat="1" applyFill="1" applyBorder="1"/>
    <xf numFmtId="1" fontId="0" fillId="9" borderId="2" xfId="0" applyNumberFormat="1" applyFill="1" applyBorder="1"/>
    <xf numFmtId="2" fontId="0" fillId="9" borderId="2" xfId="0" applyNumberFormat="1" applyFill="1" applyBorder="1"/>
    <xf numFmtId="168" fontId="0" fillId="3" borderId="2" xfId="0" applyNumberFormat="1" applyFill="1" applyBorder="1" applyAlignment="1">
      <alignment horizontal="right"/>
    </xf>
    <xf numFmtId="168" fontId="0" fillId="3" borderId="2" xfId="0" applyNumberFormat="1" applyFill="1" applyBorder="1" applyAlignment="1">
      <alignment horizontal="center"/>
    </xf>
    <xf numFmtId="168" fontId="0" fillId="9" borderId="2" xfId="0" applyNumberFormat="1" applyFill="1" applyBorder="1" applyAlignment="1">
      <alignment horizontal="right"/>
    </xf>
    <xf numFmtId="0" fontId="0" fillId="7" borderId="4" xfId="0" applyFill="1" applyBorder="1" applyAlignment="1">
      <alignment wrapText="1"/>
    </xf>
    <xf numFmtId="0" fontId="0" fillId="4" borderId="4" xfId="0" applyFill="1" applyBorder="1" applyAlignment="1">
      <alignment horizontal="right"/>
    </xf>
    <xf numFmtId="0" fontId="0" fillId="4" borderId="5" xfId="0" applyFill="1" applyBorder="1"/>
    <xf numFmtId="0" fontId="0" fillId="4" borderId="6" xfId="0" applyFill="1" applyBorder="1" applyAlignment="1">
      <alignment wrapText="1"/>
    </xf>
    <xf numFmtId="0" fontId="0" fillId="0" borderId="6" xfId="0" applyBorder="1" applyAlignment="1">
      <alignment wrapText="1"/>
    </xf>
    <xf numFmtId="9" fontId="0" fillId="2" borderId="2" xfId="2" applyFont="1" applyFill="1" applyBorder="1" applyAlignment="1">
      <alignment horizontal="right"/>
    </xf>
    <xf numFmtId="9" fontId="0" fillId="2" borderId="6" xfId="2" applyFont="1" applyFill="1" applyBorder="1" applyAlignment="1"/>
    <xf numFmtId="0" fontId="0" fillId="9" borderId="6" xfId="0" applyFill="1" applyBorder="1" applyAlignment="1">
      <alignment wrapText="1"/>
    </xf>
    <xf numFmtId="168" fontId="0" fillId="8" borderId="2" xfId="0" applyNumberFormat="1" applyFill="1" applyBorder="1" applyAlignment="1">
      <alignment horizontal="right"/>
    </xf>
    <xf numFmtId="1" fontId="0" fillId="8" borderId="2" xfId="0" applyNumberFormat="1" applyFill="1" applyBorder="1" applyAlignment="1">
      <alignment horizontal="right"/>
    </xf>
    <xf numFmtId="0" fontId="0" fillId="5" borderId="6" xfId="0" applyFill="1" applyBorder="1" applyAlignment="1">
      <alignment wrapText="1"/>
    </xf>
    <xf numFmtId="168" fontId="0" fillId="2" borderId="2" xfId="0" applyNumberFormat="1" applyFill="1" applyBorder="1" applyAlignment="1">
      <alignment horizontal="right"/>
    </xf>
    <xf numFmtId="2" fontId="0" fillId="2" borderId="6" xfId="0" applyNumberFormat="1" applyFill="1" applyBorder="1"/>
    <xf numFmtId="44" fontId="0" fillId="6" borderId="6" xfId="0" applyNumberFormat="1" applyFill="1" applyBorder="1"/>
    <xf numFmtId="0" fontId="65" fillId="7" borderId="2" xfId="0" applyFont="1" applyFill="1" applyBorder="1" applyAlignment="1">
      <alignment wrapText="1"/>
    </xf>
    <xf numFmtId="0" fontId="28" fillId="7" borderId="2" xfId="0" applyFont="1" applyFill="1" applyBorder="1" applyAlignment="1">
      <alignment horizontal="right"/>
    </xf>
    <xf numFmtId="0" fontId="28" fillId="7" borderId="2" xfId="0" applyFont="1" applyFill="1" applyBorder="1"/>
    <xf numFmtId="0" fontId="28" fillId="7" borderId="2" xfId="0" applyFont="1" applyFill="1" applyBorder="1" applyAlignment="1">
      <alignment wrapText="1"/>
    </xf>
    <xf numFmtId="9" fontId="17" fillId="2" borderId="2" xfId="2" applyFont="1" applyFill="1" applyBorder="1" applyAlignment="1">
      <alignment horizontal="right"/>
    </xf>
    <xf numFmtId="10" fontId="28" fillId="2" borderId="2" xfId="0" applyNumberFormat="1" applyFont="1" applyFill="1" applyBorder="1"/>
    <xf numFmtId="9" fontId="0" fillId="2" borderId="2" xfId="0" applyNumberFormat="1" applyFill="1" applyBorder="1"/>
    <xf numFmtId="10" fontId="0" fillId="2" borderId="2" xfId="0" applyNumberFormat="1" applyFill="1" applyBorder="1"/>
    <xf numFmtId="168" fontId="0" fillId="2" borderId="2" xfId="2" applyNumberFormat="1" applyFont="1" applyFill="1" applyBorder="1" applyAlignment="1">
      <alignment horizontal="right"/>
    </xf>
    <xf numFmtId="0" fontId="0" fillId="12" borderId="2" xfId="0" applyFill="1" applyBorder="1" applyAlignment="1">
      <alignment wrapText="1"/>
    </xf>
    <xf numFmtId="1" fontId="0" fillId="12" borderId="2" xfId="0" applyNumberFormat="1" applyFill="1" applyBorder="1" applyAlignment="1">
      <alignment horizontal="right"/>
    </xf>
    <xf numFmtId="1" fontId="0" fillId="12" borderId="2" xfId="0" applyNumberFormat="1" applyFill="1" applyBorder="1"/>
    <xf numFmtId="44" fontId="0" fillId="12" borderId="2" xfId="0" applyNumberFormat="1" applyFill="1" applyBorder="1" applyAlignment="1">
      <alignment horizontal="right"/>
    </xf>
    <xf numFmtId="44" fontId="0" fillId="12" borderId="2" xfId="0" applyNumberFormat="1" applyFill="1" applyBorder="1"/>
    <xf numFmtId="44" fontId="0" fillId="8" borderId="2" xfId="0" applyNumberFormat="1" applyFill="1" applyBorder="1" applyAlignment="1">
      <alignment horizontal="right"/>
    </xf>
    <xf numFmtId="0" fontId="0" fillId="7" borderId="3" xfId="0" applyFill="1" applyBorder="1" applyAlignment="1">
      <alignment horizontal="right"/>
    </xf>
    <xf numFmtId="0" fontId="0" fillId="7" borderId="3" xfId="0" applyFill="1" applyBorder="1"/>
    <xf numFmtId="0" fontId="0" fillId="7" borderId="2" xfId="0" applyFill="1" applyBorder="1" applyAlignment="1">
      <alignment wrapText="1"/>
    </xf>
    <xf numFmtId="1" fontId="0" fillId="2" borderId="2" xfId="0" applyNumberFormat="1" applyFill="1" applyBorder="1"/>
    <xf numFmtId="1" fontId="0" fillId="2" borderId="10" xfId="0" applyNumberFormat="1" applyFill="1" applyBorder="1"/>
    <xf numFmtId="1" fontId="0" fillId="9" borderId="2" xfId="3" applyNumberFormat="1" applyFont="1" applyFill="1" applyBorder="1" applyAlignment="1">
      <alignment horizontal="right"/>
    </xf>
    <xf numFmtId="1" fontId="0" fillId="2" borderId="2" xfId="0" applyNumberFormat="1" applyFill="1" applyBorder="1" applyAlignment="1">
      <alignment horizontal="right"/>
    </xf>
    <xf numFmtId="1" fontId="17" fillId="2" borderId="2" xfId="0" applyNumberFormat="1" applyFont="1" applyFill="1" applyBorder="1"/>
    <xf numFmtId="0" fontId="17" fillId="0" borderId="4" xfId="0" applyFont="1" applyBorder="1" applyAlignment="1">
      <alignment horizontal="center"/>
    </xf>
    <xf numFmtId="0" fontId="66" fillId="9" borderId="2" xfId="0" applyFont="1" applyFill="1" applyBorder="1" applyAlignment="1">
      <alignment wrapText="1"/>
    </xf>
    <xf numFmtId="168" fontId="0" fillId="3" borderId="2" xfId="0" applyNumberFormat="1" applyFill="1" applyBorder="1"/>
    <xf numFmtId="0" fontId="0" fillId="2" borderId="2" xfId="0" applyFill="1" applyBorder="1" applyAlignment="1">
      <alignment wrapText="1"/>
    </xf>
    <xf numFmtId="0" fontId="0" fillId="7" borderId="34" xfId="0" applyFill="1" applyBorder="1" applyAlignment="1">
      <alignment wrapText="1"/>
    </xf>
    <xf numFmtId="0" fontId="0" fillId="7" borderId="35" xfId="0" applyFill="1" applyBorder="1" applyAlignment="1">
      <alignment horizontal="right"/>
    </xf>
    <xf numFmtId="0" fontId="0" fillId="7" borderId="9" xfId="0" applyFill="1" applyBorder="1" applyAlignment="1">
      <alignment wrapText="1"/>
    </xf>
    <xf numFmtId="168" fontId="0" fillId="3" borderId="10" xfId="0" applyNumberFormat="1" applyFill="1" applyBorder="1" applyAlignment="1">
      <alignment horizontal="right"/>
    </xf>
    <xf numFmtId="44" fontId="17" fillId="9" borderId="2" xfId="0" applyNumberFormat="1" applyFont="1" applyFill="1" applyBorder="1" applyAlignment="1">
      <alignment horizontal="right"/>
    </xf>
    <xf numFmtId="0" fontId="0" fillId="7" borderId="3" xfId="0" applyFill="1" applyBorder="1" applyAlignment="1">
      <alignment wrapText="1"/>
    </xf>
    <xf numFmtId="0" fontId="67" fillId="0" borderId="0" xfId="0" applyFont="1" applyAlignment="1">
      <alignment wrapText="1"/>
    </xf>
    <xf numFmtId="0" fontId="0" fillId="0" borderId="0" xfId="0" applyAlignment="1">
      <alignment horizontal="right"/>
    </xf>
    <xf numFmtId="0" fontId="0" fillId="9" borderId="0" xfId="0" applyFill="1" applyAlignment="1">
      <alignment horizontal="center" textRotation="90" wrapText="1"/>
    </xf>
    <xf numFmtId="0" fontId="27" fillId="4" borderId="25" xfId="0" applyFont="1" applyFill="1" applyBorder="1" applyAlignment="1">
      <alignment wrapText="1"/>
    </xf>
    <xf numFmtId="0" fontId="0" fillId="9" borderId="10" xfId="0" applyFill="1" applyBorder="1" applyAlignment="1">
      <alignment textRotation="90" wrapText="1"/>
    </xf>
    <xf numFmtId="0" fontId="66" fillId="4" borderId="4" xfId="0" applyFont="1" applyFill="1" applyBorder="1" applyAlignment="1">
      <alignment wrapText="1"/>
    </xf>
    <xf numFmtId="0" fontId="0" fillId="9" borderId="0" xfId="0" applyFill="1" applyAlignment="1">
      <alignment textRotation="90" wrapText="1"/>
    </xf>
    <xf numFmtId="0" fontId="17" fillId="0" borderId="2" xfId="0" applyFont="1" applyBorder="1" applyAlignment="1">
      <alignment horizontal="center" wrapText="1"/>
    </xf>
    <xf numFmtId="0" fontId="0" fillId="9" borderId="2" xfId="0" applyFill="1" applyBorder="1" applyAlignment="1">
      <alignment textRotation="90" wrapText="1"/>
    </xf>
    <xf numFmtId="0" fontId="0" fillId="9" borderId="9" xfId="0" applyFill="1" applyBorder="1" applyAlignment="1">
      <alignment vertical="center" textRotation="90" wrapText="1"/>
    </xf>
    <xf numFmtId="0" fontId="0" fillId="9" borderId="0" xfId="0" applyFill="1" applyAlignment="1">
      <alignment vertical="center" textRotation="90" wrapText="1"/>
    </xf>
    <xf numFmtId="0" fontId="65" fillId="0" borderId="0" xfId="0" applyFont="1" applyAlignment="1">
      <alignment horizontal="right"/>
    </xf>
    <xf numFmtId="0" fontId="0" fillId="0" borderId="44" xfId="0" applyBorder="1"/>
    <xf numFmtId="0" fontId="0" fillId="9" borderId="44" xfId="0" applyFill="1" applyBorder="1"/>
    <xf numFmtId="168" fontId="17" fillId="9" borderId="44" xfId="0" applyNumberFormat="1" applyFont="1" applyFill="1" applyBorder="1"/>
    <xf numFmtId="0" fontId="17" fillId="9" borderId="44" xfId="0" applyFont="1" applyFill="1" applyBorder="1" applyAlignment="1">
      <alignment wrapText="1"/>
    </xf>
    <xf numFmtId="0" fontId="17" fillId="5" borderId="44" xfId="0" applyFont="1" applyFill="1" applyBorder="1" applyAlignment="1">
      <alignment wrapText="1"/>
    </xf>
    <xf numFmtId="0" fontId="17" fillId="0" borderId="44" xfId="0" applyFont="1" applyBorder="1" applyAlignment="1">
      <alignment wrapText="1"/>
    </xf>
    <xf numFmtId="1" fontId="17" fillId="5" borderId="44" xfId="0" applyNumberFormat="1" applyFont="1" applyFill="1" applyBorder="1" applyAlignment="1">
      <alignment wrapText="1"/>
    </xf>
    <xf numFmtId="1" fontId="17" fillId="9" borderId="44" xfId="0" applyNumberFormat="1" applyFont="1" applyFill="1" applyBorder="1" applyAlignment="1">
      <alignment horizontal="right"/>
    </xf>
    <xf numFmtId="1" fontId="17" fillId="9" borderId="44" xfId="2" applyNumberFormat="1" applyFont="1" applyFill="1" applyBorder="1"/>
    <xf numFmtId="0" fontId="17" fillId="5" borderId="57" xfId="0" applyFont="1" applyFill="1" applyBorder="1" applyAlignment="1">
      <alignment wrapText="1"/>
    </xf>
    <xf numFmtId="0" fontId="17" fillId="9" borderId="57" xfId="0" applyFont="1" applyFill="1" applyBorder="1" applyAlignment="1">
      <alignment wrapText="1"/>
    </xf>
    <xf numFmtId="0" fontId="17" fillId="2" borderId="56" xfId="0" applyFont="1" applyFill="1" applyBorder="1"/>
    <xf numFmtId="1" fontId="17" fillId="9" borderId="56" xfId="0" applyNumberFormat="1" applyFont="1" applyFill="1" applyBorder="1"/>
    <xf numFmtId="9" fontId="17" fillId="2" borderId="56" xfId="2" applyFont="1" applyFill="1" applyBorder="1"/>
    <xf numFmtId="1" fontId="17" fillId="9" borderId="56" xfId="2" applyNumberFormat="1" applyFont="1" applyFill="1" applyBorder="1"/>
    <xf numFmtId="0" fontId="0" fillId="14" borderId="44" xfId="0" applyFill="1" applyBorder="1"/>
    <xf numFmtId="164" fontId="0" fillId="9" borderId="2" xfId="3" applyNumberFormat="1" applyFont="1" applyFill="1" applyBorder="1" applyAlignment="1">
      <alignment horizontal="right"/>
    </xf>
    <xf numFmtId="164" fontId="0" fillId="7" borderId="0" xfId="3" applyNumberFormat="1" applyFont="1" applyFill="1" applyAlignment="1">
      <alignment wrapText="1"/>
    </xf>
    <xf numFmtId="164" fontId="17" fillId="9" borderId="44" xfId="3" applyNumberFormat="1" applyFont="1" applyFill="1" applyBorder="1"/>
    <xf numFmtId="164" fontId="17" fillId="9" borderId="44" xfId="3" applyNumberFormat="1" applyFont="1" applyFill="1" applyBorder="1" applyAlignment="1">
      <alignment horizontal="right"/>
    </xf>
    <xf numFmtId="164" fontId="17" fillId="9" borderId="56" xfId="3" applyNumberFormat="1" applyFont="1" applyFill="1" applyBorder="1"/>
    <xf numFmtId="0" fontId="17" fillId="2" borderId="44" xfId="0" applyFont="1" applyFill="1" applyBorder="1" applyAlignment="1">
      <alignment wrapText="1"/>
    </xf>
    <xf numFmtId="164" fontId="17" fillId="5" borderId="56" xfId="3" applyNumberFormat="1" applyFont="1" applyFill="1" applyBorder="1"/>
    <xf numFmtId="2" fontId="17" fillId="9" borderId="56" xfId="0" applyNumberFormat="1" applyFont="1" applyFill="1" applyBorder="1"/>
    <xf numFmtId="44" fontId="17" fillId="6" borderId="56" xfId="1" applyFont="1" applyFill="1" applyBorder="1" applyAlignment="1">
      <alignment horizontal="left"/>
    </xf>
    <xf numFmtId="9" fontId="17" fillId="2" borderId="56" xfId="2" applyFont="1" applyFill="1" applyBorder="1" applyAlignment="1">
      <alignment horizontal="right"/>
    </xf>
    <xf numFmtId="164" fontId="17" fillId="9" borderId="56" xfId="3" applyNumberFormat="1" applyFont="1" applyFill="1" applyBorder="1" applyAlignment="1">
      <alignment horizontal="right"/>
    </xf>
    <xf numFmtId="44" fontId="17" fillId="6" borderId="56" xfId="1" applyFont="1" applyFill="1" applyBorder="1" applyAlignment="1">
      <alignment horizontal="right"/>
    </xf>
    <xf numFmtId="9" fontId="17" fillId="5" borderId="60" xfId="2" applyFont="1" applyFill="1" applyBorder="1"/>
    <xf numFmtId="0" fontId="0" fillId="14" borderId="60" xfId="0" applyFill="1" applyBorder="1"/>
    <xf numFmtId="1" fontId="17" fillId="9" borderId="62" xfId="0" applyNumberFormat="1" applyFont="1" applyFill="1" applyBorder="1"/>
    <xf numFmtId="0" fontId="17" fillId="6" borderId="57" xfId="0" applyFont="1" applyFill="1" applyBorder="1" applyAlignment="1">
      <alignment wrapText="1"/>
    </xf>
    <xf numFmtId="164" fontId="17" fillId="2" borderId="56" xfId="3" applyNumberFormat="1" applyFont="1" applyFill="1" applyBorder="1" applyAlignment="1">
      <alignment horizontal="right"/>
    </xf>
    <xf numFmtId="0" fontId="17" fillId="2" borderId="57" xfId="0" applyFont="1" applyFill="1" applyBorder="1" applyAlignment="1">
      <alignment wrapText="1"/>
    </xf>
    <xf numFmtId="1" fontId="17" fillId="3" borderId="56" xfId="0" applyNumberFormat="1" applyFont="1" applyFill="1" applyBorder="1" applyAlignment="1">
      <alignment horizontal="right"/>
    </xf>
    <xf numFmtId="0" fontId="17" fillId="3" borderId="57" xfId="0" applyFont="1" applyFill="1" applyBorder="1" applyAlignment="1">
      <alignment wrapText="1"/>
    </xf>
    <xf numFmtId="164" fontId="0" fillId="9" borderId="10" xfId="3" applyNumberFormat="1" applyFont="1" applyFill="1" applyBorder="1"/>
    <xf numFmtId="0" fontId="2" fillId="0" borderId="11" xfId="0" applyFont="1" applyBorder="1"/>
    <xf numFmtId="0" fontId="17" fillId="5" borderId="58" xfId="0" applyFont="1" applyFill="1" applyBorder="1"/>
    <xf numFmtId="0" fontId="17" fillId="2" borderId="63" xfId="0" applyFont="1" applyFill="1" applyBorder="1" applyAlignment="1">
      <alignment wrapText="1"/>
    </xf>
    <xf numFmtId="1" fontId="17" fillId="5" borderId="59" xfId="0" applyNumberFormat="1" applyFont="1" applyFill="1" applyBorder="1" applyAlignment="1">
      <alignment horizontal="right"/>
    </xf>
    <xf numFmtId="0" fontId="17" fillId="5" borderId="60" xfId="0" applyFont="1" applyFill="1" applyBorder="1" applyAlignment="1">
      <alignment wrapText="1"/>
    </xf>
    <xf numFmtId="0" fontId="17" fillId="5" borderId="61" xfId="0" applyFont="1" applyFill="1" applyBorder="1" applyAlignment="1">
      <alignment wrapText="1"/>
    </xf>
    <xf numFmtId="0" fontId="66" fillId="9" borderId="65" xfId="0" applyFont="1" applyFill="1" applyBorder="1" applyAlignment="1">
      <alignment wrapText="1"/>
    </xf>
    <xf numFmtId="0" fontId="66" fillId="9" borderId="4" xfId="0" applyFont="1" applyFill="1" applyBorder="1" applyAlignment="1">
      <alignment wrapText="1"/>
    </xf>
    <xf numFmtId="44" fontId="66" fillId="9" borderId="66" xfId="1" applyFont="1" applyFill="1" applyBorder="1"/>
    <xf numFmtId="0" fontId="17" fillId="2" borderId="58" xfId="0" applyFont="1" applyFill="1" applyBorder="1" applyAlignment="1">
      <alignment wrapText="1"/>
    </xf>
    <xf numFmtId="0" fontId="17" fillId="9" borderId="61" xfId="0" applyFont="1" applyFill="1" applyBorder="1"/>
    <xf numFmtId="0" fontId="17" fillId="9" borderId="67" xfId="0" applyFont="1" applyFill="1" applyBorder="1"/>
    <xf numFmtId="0" fontId="17" fillId="2" borderId="59" xfId="0" applyFont="1" applyFill="1" applyBorder="1"/>
    <xf numFmtId="0" fontId="17" fillId="0" borderId="60" xfId="0" applyFont="1" applyBorder="1" applyAlignment="1">
      <alignment wrapText="1"/>
    </xf>
    <xf numFmtId="1" fontId="17" fillId="9" borderId="61" xfId="0" applyNumberFormat="1" applyFont="1" applyFill="1" applyBorder="1" applyAlignment="1">
      <alignment wrapText="1"/>
    </xf>
    <xf numFmtId="44" fontId="17" fillId="9" borderId="69" xfId="0" applyNumberFormat="1" applyFont="1" applyFill="1" applyBorder="1"/>
    <xf numFmtId="0" fontId="17" fillId="9" borderId="70" xfId="0" applyFont="1" applyFill="1" applyBorder="1" applyAlignment="1">
      <alignment wrapText="1"/>
    </xf>
    <xf numFmtId="0" fontId="17" fillId="9" borderId="71" xfId="0" applyFont="1" applyFill="1" applyBorder="1"/>
    <xf numFmtId="0" fontId="3" fillId="0" borderId="11" xfId="0" applyFont="1" applyBorder="1"/>
    <xf numFmtId="9" fontId="3" fillId="0" borderId="11" xfId="2" applyFont="1" applyBorder="1"/>
    <xf numFmtId="9" fontId="3" fillId="5" borderId="11" xfId="2" applyFont="1" applyFill="1" applyBorder="1" applyAlignment="1">
      <alignment horizontal="right"/>
    </xf>
    <xf numFmtId="1" fontId="3" fillId="5" borderId="11" xfId="0" applyNumberFormat="1" applyFont="1" applyFill="1" applyBorder="1" applyAlignment="1">
      <alignment horizontal="right"/>
    </xf>
    <xf numFmtId="167" fontId="3" fillId="5" borderId="11" xfId="2" applyNumberFormat="1" applyFont="1" applyFill="1" applyBorder="1"/>
    <xf numFmtId="9" fontId="3" fillId="5" borderId="11" xfId="2" applyFont="1" applyFill="1" applyBorder="1"/>
    <xf numFmtId="0" fontId="3" fillId="5" borderId="11" xfId="0" applyFont="1" applyFill="1" applyBorder="1"/>
    <xf numFmtId="164" fontId="3" fillId="5" borderId="11" xfId="3" applyNumberFormat="1" applyFont="1" applyFill="1" applyBorder="1" applyAlignment="1">
      <alignment horizontal="right"/>
    </xf>
    <xf numFmtId="44" fontId="3" fillId="5" borderId="11" xfId="1" applyFont="1" applyFill="1" applyBorder="1" applyAlignment="1">
      <alignment horizontal="right"/>
    </xf>
    <xf numFmtId="0" fontId="47" fillId="10" borderId="35" xfId="0" applyFont="1" applyFill="1" applyBorder="1" applyAlignment="1">
      <alignment horizontal="right" wrapText="1"/>
    </xf>
    <xf numFmtId="44" fontId="47" fillId="11" borderId="2" xfId="0" applyNumberFormat="1" applyFont="1" applyFill="1" applyBorder="1" applyAlignment="1">
      <alignment horizontal="right"/>
    </xf>
    <xf numFmtId="44" fontId="47" fillId="10" borderId="0" xfId="0" applyNumberFormat="1" applyFont="1" applyFill="1"/>
    <xf numFmtId="44" fontId="72" fillId="10" borderId="4" xfId="0" applyNumberFormat="1" applyFont="1" applyFill="1" applyBorder="1" applyAlignment="1">
      <alignment wrapText="1"/>
    </xf>
    <xf numFmtId="9" fontId="17" fillId="5" borderId="59" xfId="2" applyFont="1" applyFill="1" applyBorder="1"/>
    <xf numFmtId="0" fontId="17" fillId="2" borderId="63" xfId="0" applyFont="1" applyFill="1" applyBorder="1"/>
    <xf numFmtId="0" fontId="0" fillId="5" borderId="11" xfId="0" applyFill="1" applyBorder="1" applyAlignment="1">
      <alignment wrapText="1"/>
    </xf>
    <xf numFmtId="164" fontId="0" fillId="0" borderId="44" xfId="3" applyNumberFormat="1" applyFont="1" applyBorder="1"/>
    <xf numFmtId="164" fontId="17" fillId="9" borderId="62" xfId="3" applyNumberFormat="1" applyFont="1" applyFill="1" applyBorder="1" applyAlignment="1"/>
    <xf numFmtId="164" fontId="0" fillId="9" borderId="10" xfId="3" applyNumberFormat="1" applyFont="1" applyFill="1" applyBorder="1" applyAlignment="1">
      <alignment horizontal="right"/>
    </xf>
    <xf numFmtId="164" fontId="0" fillId="2" borderId="10" xfId="3" applyNumberFormat="1" applyFont="1" applyFill="1" applyBorder="1" applyAlignment="1">
      <alignment horizontal="right"/>
    </xf>
    <xf numFmtId="164" fontId="0" fillId="2" borderId="2" xfId="3" applyNumberFormat="1" applyFont="1" applyFill="1" applyBorder="1"/>
    <xf numFmtId="164" fontId="0" fillId="3" borderId="2" xfId="3" applyNumberFormat="1" applyFont="1" applyFill="1" applyBorder="1" applyAlignment="1">
      <alignment horizontal="right"/>
    </xf>
    <xf numFmtId="0" fontId="73" fillId="0" borderId="0" xfId="0" applyFont="1" applyAlignment="1">
      <alignment wrapText="1"/>
    </xf>
    <xf numFmtId="9" fontId="17" fillId="4" borderId="57" xfId="2" applyFont="1" applyFill="1" applyBorder="1" applyAlignment="1"/>
    <xf numFmtId="9" fontId="17" fillId="4" borderId="72" xfId="2" applyFont="1" applyFill="1" applyBorder="1" applyAlignment="1"/>
    <xf numFmtId="0" fontId="0" fillId="4" borderId="57" xfId="0" applyFill="1" applyBorder="1"/>
    <xf numFmtId="0" fontId="0" fillId="4" borderId="72" xfId="0" applyFill="1" applyBorder="1"/>
    <xf numFmtId="0" fontId="0" fillId="4" borderId="56" xfId="0" applyFill="1" applyBorder="1"/>
    <xf numFmtId="0" fontId="10" fillId="4" borderId="4" xfId="0" applyFont="1" applyFill="1" applyBorder="1" applyAlignment="1">
      <alignment horizontal="left" wrapText="1"/>
    </xf>
    <xf numFmtId="0" fontId="6" fillId="4" borderId="6" xfId="0" applyFont="1" applyFill="1" applyBorder="1" applyAlignment="1">
      <alignment horizontal="center" wrapText="1"/>
    </xf>
    <xf numFmtId="0" fontId="2" fillId="4" borderId="2" xfId="0" applyFont="1" applyFill="1" applyBorder="1" applyAlignment="1">
      <alignment horizontal="center" vertical="center" wrapText="1"/>
    </xf>
    <xf numFmtId="164" fontId="0" fillId="14" borderId="44" xfId="3" applyNumberFormat="1" applyFont="1" applyFill="1" applyBorder="1"/>
    <xf numFmtId="9" fontId="17" fillId="14" borderId="60" xfId="2" applyFont="1" applyFill="1" applyBorder="1"/>
    <xf numFmtId="0" fontId="17" fillId="2" borderId="72" xfId="0" applyFont="1" applyFill="1" applyBorder="1"/>
    <xf numFmtId="164" fontId="17" fillId="9" borderId="57" xfId="3" applyNumberFormat="1" applyFont="1" applyFill="1" applyBorder="1"/>
    <xf numFmtId="9" fontId="17" fillId="2" borderId="72" xfId="2" applyFont="1" applyFill="1" applyBorder="1"/>
    <xf numFmtId="1" fontId="17" fillId="9" borderId="72" xfId="0" applyNumberFormat="1" applyFont="1" applyFill="1" applyBorder="1"/>
    <xf numFmtId="164" fontId="17" fillId="4" borderId="0" xfId="3" applyNumberFormat="1" applyFont="1" applyFill="1" applyBorder="1"/>
    <xf numFmtId="0" fontId="17" fillId="4" borderId="35" xfId="0" applyFont="1" applyFill="1" applyBorder="1"/>
    <xf numFmtId="164" fontId="17" fillId="4" borderId="35" xfId="3" applyNumberFormat="1" applyFont="1" applyFill="1" applyBorder="1"/>
    <xf numFmtId="9" fontId="17" fillId="4" borderId="35" xfId="2" applyFont="1" applyFill="1" applyBorder="1"/>
    <xf numFmtId="1" fontId="17" fillId="4" borderId="35" xfId="0" applyNumberFormat="1" applyFont="1" applyFill="1" applyBorder="1"/>
    <xf numFmtId="2" fontId="17" fillId="4" borderId="0" xfId="0" applyNumberFormat="1" applyFont="1" applyFill="1"/>
    <xf numFmtId="2" fontId="17" fillId="4" borderId="8" xfId="0" applyNumberFormat="1" applyFont="1" applyFill="1" applyBorder="1"/>
    <xf numFmtId="9" fontId="17" fillId="4" borderId="0" xfId="2" applyFont="1" applyFill="1" applyBorder="1" applyAlignment="1"/>
    <xf numFmtId="164" fontId="0" fillId="5" borderId="61" xfId="3" applyNumberFormat="1" applyFont="1" applyFill="1" applyBorder="1"/>
    <xf numFmtId="1" fontId="17" fillId="4" borderId="0" xfId="2" applyNumberFormat="1" applyFont="1" applyFill="1" applyBorder="1"/>
    <xf numFmtId="164" fontId="17" fillId="9" borderId="74" xfId="3" applyNumberFormat="1" applyFont="1" applyFill="1" applyBorder="1"/>
    <xf numFmtId="1" fontId="17" fillId="9" borderId="74" xfId="2" applyNumberFormat="1" applyFont="1" applyFill="1" applyBorder="1"/>
    <xf numFmtId="1" fontId="0" fillId="5" borderId="75" xfId="0" applyNumberFormat="1" applyFill="1" applyBorder="1"/>
    <xf numFmtId="164" fontId="17" fillId="9" borderId="76" xfId="3" applyNumberFormat="1" applyFont="1" applyFill="1" applyBorder="1"/>
    <xf numFmtId="9" fontId="17" fillId="2" borderId="76" xfId="2" applyFont="1" applyFill="1" applyBorder="1"/>
    <xf numFmtId="0" fontId="17" fillId="5" borderId="44" xfId="0" applyFont="1" applyFill="1" applyBorder="1"/>
    <xf numFmtId="0" fontId="17" fillId="9" borderId="2" xfId="0" applyFont="1" applyFill="1" applyBorder="1" applyAlignment="1">
      <alignment wrapText="1"/>
    </xf>
    <xf numFmtId="164" fontId="0" fillId="3" borderId="2" xfId="3" applyNumberFormat="1" applyFont="1" applyFill="1" applyBorder="1"/>
    <xf numFmtId="168" fontId="17" fillId="2" borderId="56" xfId="0" applyNumberFormat="1" applyFont="1" applyFill="1" applyBorder="1"/>
    <xf numFmtId="1" fontId="3" fillId="5" borderId="11" xfId="2" applyNumberFormat="1" applyFont="1" applyFill="1" applyBorder="1"/>
    <xf numFmtId="1" fontId="17" fillId="2" borderId="56" xfId="2" applyNumberFormat="1" applyFont="1" applyFill="1" applyBorder="1"/>
    <xf numFmtId="0" fontId="17" fillId="5" borderId="44" xfId="0" applyFont="1" applyFill="1" applyBorder="1" applyAlignment="1">
      <alignment horizontal="center" wrapText="1"/>
    </xf>
    <xf numFmtId="0" fontId="19" fillId="4" borderId="0" xfId="0" applyFont="1" applyFill="1" applyAlignment="1">
      <alignment vertical="center" wrapText="1"/>
    </xf>
    <xf numFmtId="0" fontId="17" fillId="9" borderId="77" xfId="0" applyFont="1" applyFill="1" applyBorder="1"/>
    <xf numFmtId="44" fontId="17" fillId="9" borderId="11" xfId="0" applyNumberFormat="1" applyFont="1" applyFill="1" applyBorder="1" applyAlignment="1">
      <alignment vertical="center" wrapText="1"/>
    </xf>
    <xf numFmtId="1" fontId="17" fillId="4" borderId="0" xfId="0" applyNumberFormat="1" applyFont="1" applyFill="1"/>
    <xf numFmtId="164" fontId="17" fillId="9" borderId="80" xfId="3" applyNumberFormat="1" applyFont="1" applyFill="1" applyBorder="1" applyAlignment="1"/>
    <xf numFmtId="44" fontId="17" fillId="9" borderId="81" xfId="0" applyNumberFormat="1" applyFont="1" applyFill="1" applyBorder="1"/>
    <xf numFmtId="164" fontId="17" fillId="9" borderId="82" xfId="3" applyNumberFormat="1" applyFont="1" applyFill="1" applyBorder="1"/>
    <xf numFmtId="0" fontId="17" fillId="9" borderId="4" xfId="0" applyFont="1" applyFill="1" applyBorder="1" applyAlignment="1">
      <alignment horizontal="center"/>
    </xf>
    <xf numFmtId="0" fontId="17" fillId="9" borderId="2" xfId="0" applyFont="1" applyFill="1" applyBorder="1" applyAlignment="1">
      <alignment horizontal="center" wrapText="1"/>
    </xf>
    <xf numFmtId="0" fontId="17" fillId="7" borderId="0" xfId="0" applyFont="1" applyFill="1" applyAlignment="1">
      <alignment horizontal="center"/>
    </xf>
    <xf numFmtId="0" fontId="17" fillId="7" borderId="2" xfId="0" applyFont="1" applyFill="1" applyBorder="1" applyAlignment="1">
      <alignment horizontal="center" wrapText="1"/>
    </xf>
    <xf numFmtId="0" fontId="17" fillId="4" borderId="5" xfId="0" applyFont="1" applyFill="1" applyBorder="1" applyAlignment="1">
      <alignment horizontal="center"/>
    </xf>
    <xf numFmtId="0" fontId="17" fillId="4" borderId="2" xfId="0" applyFont="1" applyFill="1" applyBorder="1" applyAlignment="1">
      <alignment horizontal="center" wrapText="1"/>
    </xf>
    <xf numFmtId="0" fontId="17" fillId="7" borderId="4" xfId="0" applyFont="1" applyFill="1" applyBorder="1" applyAlignment="1">
      <alignment horizontal="center"/>
    </xf>
    <xf numFmtId="0" fontId="17" fillId="7" borderId="0" xfId="0" applyFont="1" applyFill="1" applyAlignment="1">
      <alignment horizontal="center" wrapText="1"/>
    </xf>
    <xf numFmtId="0" fontId="17" fillId="7" borderId="0" xfId="0" applyFont="1" applyFill="1" applyAlignment="1">
      <alignment wrapText="1"/>
    </xf>
    <xf numFmtId="0" fontId="17" fillId="5" borderId="44" xfId="0" applyFont="1" applyFill="1" applyBorder="1" applyAlignment="1">
      <alignment horizontal="center"/>
    </xf>
    <xf numFmtId="0" fontId="17" fillId="5" borderId="56" xfId="0" applyFont="1" applyFill="1" applyBorder="1" applyAlignment="1">
      <alignment horizontal="center" wrapText="1"/>
    </xf>
    <xf numFmtId="0" fontId="17" fillId="5" borderId="6" xfId="0" applyFont="1" applyFill="1" applyBorder="1" applyAlignment="1">
      <alignment horizontal="center" wrapText="1"/>
    </xf>
    <xf numFmtId="0" fontId="17" fillId="5" borderId="9" xfId="0" applyFont="1" applyFill="1" applyBorder="1" applyAlignment="1">
      <alignment horizontal="center" wrapText="1"/>
    </xf>
    <xf numFmtId="0" fontId="17" fillId="0" borderId="0" xfId="0" applyFont="1" applyAlignment="1">
      <alignment wrapText="1"/>
    </xf>
    <xf numFmtId="0" fontId="17" fillId="9" borderId="56" xfId="0" applyFont="1" applyFill="1" applyBorder="1" applyAlignment="1">
      <alignment horizontal="center"/>
    </xf>
    <xf numFmtId="0" fontId="17" fillId="9" borderId="6" xfId="0" applyFont="1" applyFill="1" applyBorder="1" applyAlignment="1">
      <alignment horizontal="center" wrapText="1"/>
    </xf>
    <xf numFmtId="0" fontId="17" fillId="9" borderId="44" xfId="0" applyFont="1" applyFill="1" applyBorder="1" applyAlignment="1">
      <alignment horizontal="center" wrapText="1"/>
    </xf>
    <xf numFmtId="0" fontId="17" fillId="0" borderId="44" xfId="0" applyFont="1" applyBorder="1" applyAlignment="1">
      <alignment horizontal="center"/>
    </xf>
    <xf numFmtId="0" fontId="17" fillId="0" borderId="6" xfId="0" applyFont="1" applyBorder="1" applyAlignment="1">
      <alignment horizontal="center" wrapText="1"/>
    </xf>
    <xf numFmtId="0" fontId="17" fillId="5" borderId="16" xfId="0" applyFont="1" applyFill="1" applyBorder="1" applyAlignment="1">
      <alignment horizontal="center" wrapText="1"/>
    </xf>
    <xf numFmtId="0" fontId="17" fillId="0" borderId="56" xfId="0" applyFont="1" applyBorder="1"/>
    <xf numFmtId="0" fontId="17" fillId="9" borderId="0" xfId="0" applyFont="1" applyFill="1" applyAlignment="1">
      <alignment horizontal="center"/>
    </xf>
    <xf numFmtId="0" fontId="17" fillId="9" borderId="56" xfId="0" applyFont="1" applyFill="1" applyBorder="1"/>
    <xf numFmtId="0" fontId="17" fillId="9" borderId="44" xfId="0" applyFont="1" applyFill="1" applyBorder="1" applyAlignment="1">
      <alignment horizontal="center"/>
    </xf>
    <xf numFmtId="0" fontId="17" fillId="5" borderId="56" xfId="0" applyFont="1" applyFill="1" applyBorder="1"/>
    <xf numFmtId="0" fontId="17" fillId="9" borderId="56" xfId="0" applyFont="1" applyFill="1" applyBorder="1" applyAlignment="1">
      <alignment horizontal="center" wrapText="1"/>
    </xf>
    <xf numFmtId="0" fontId="17" fillId="9" borderId="60" xfId="0" applyFont="1" applyFill="1" applyBorder="1" applyAlignment="1">
      <alignment horizontal="center"/>
    </xf>
    <xf numFmtId="0" fontId="17" fillId="9" borderId="0" xfId="0" applyFont="1" applyFill="1" applyAlignment="1">
      <alignment horizontal="center" wrapText="1"/>
    </xf>
    <xf numFmtId="0" fontId="17" fillId="9" borderId="35" xfId="0" applyFont="1" applyFill="1" applyBorder="1" applyAlignment="1">
      <alignment horizontal="center"/>
    </xf>
    <xf numFmtId="0" fontId="17" fillId="4" borderId="0" xfId="0" applyFont="1" applyFill="1" applyAlignment="1">
      <alignment horizontal="center"/>
    </xf>
    <xf numFmtId="0" fontId="17" fillId="0" borderId="5" xfId="0" applyFont="1" applyBorder="1" applyAlignment="1">
      <alignment horizontal="center"/>
    </xf>
    <xf numFmtId="0" fontId="17" fillId="11" borderId="5" xfId="0" applyFont="1" applyFill="1" applyBorder="1" applyAlignment="1">
      <alignment horizontal="center"/>
    </xf>
    <xf numFmtId="0" fontId="17" fillId="11" borderId="6" xfId="0" applyFont="1" applyFill="1" applyBorder="1" applyAlignment="1">
      <alignment horizontal="center" wrapText="1"/>
    </xf>
    <xf numFmtId="0" fontId="17" fillId="0" borderId="0" xfId="0" applyFont="1" applyAlignment="1">
      <alignment horizontal="center"/>
    </xf>
    <xf numFmtId="0" fontId="74" fillId="0" borderId="0" xfId="0" applyFont="1" applyAlignment="1">
      <alignment horizontal="center" wrapText="1"/>
    </xf>
    <xf numFmtId="0" fontId="74" fillId="0" borderId="0" xfId="0" applyFont="1" applyAlignment="1">
      <alignment wrapText="1"/>
    </xf>
    <xf numFmtId="9" fontId="17" fillId="15" borderId="64" xfId="2" applyFont="1" applyFill="1" applyBorder="1"/>
    <xf numFmtId="2" fontId="0" fillId="9" borderId="2" xfId="0" applyNumberFormat="1" applyFill="1" applyBorder="1" applyAlignment="1">
      <alignment horizontal="right"/>
    </xf>
    <xf numFmtId="0" fontId="62" fillId="7" borderId="3" xfId="0" applyFont="1" applyFill="1" applyBorder="1" applyAlignment="1">
      <alignment horizontal="center" vertical="center" wrapText="1"/>
    </xf>
    <xf numFmtId="43" fontId="2" fillId="0" borderId="41" xfId="3" applyFont="1" applyBorder="1" applyAlignment="1">
      <alignment vertical="center"/>
    </xf>
    <xf numFmtId="43" fontId="2" fillId="4" borderId="11" xfId="3" applyFont="1" applyFill="1" applyBorder="1" applyAlignment="1">
      <alignment vertical="center"/>
    </xf>
    <xf numFmtId="0" fontId="69" fillId="2" borderId="11" xfId="0" applyFont="1" applyFill="1" applyBorder="1"/>
    <xf numFmtId="44" fontId="0" fillId="2" borderId="11" xfId="0" applyNumberFormat="1" applyFill="1" applyBorder="1"/>
    <xf numFmtId="0" fontId="0" fillId="4" borderId="11" xfId="0" applyFill="1" applyBorder="1"/>
    <xf numFmtId="44" fontId="69" fillId="2" borderId="11" xfId="0" applyNumberFormat="1" applyFont="1" applyFill="1" applyBorder="1"/>
    <xf numFmtId="0" fontId="3" fillId="5" borderId="2" xfId="0" applyFont="1" applyFill="1" applyBorder="1" applyAlignment="1">
      <alignment vertical="center" wrapText="1"/>
    </xf>
    <xf numFmtId="44" fontId="3" fillId="5" borderId="2" xfId="0" applyNumberFormat="1" applyFont="1" applyFill="1" applyBorder="1" applyAlignment="1">
      <alignment vertical="center"/>
    </xf>
    <xf numFmtId="44" fontId="3" fillId="5" borderId="7" xfId="0" applyNumberFormat="1" applyFont="1" applyFill="1" applyBorder="1" applyAlignment="1">
      <alignment vertical="center" wrapText="1"/>
    </xf>
    <xf numFmtId="0" fontId="3" fillId="5" borderId="2" xfId="0" applyFont="1" applyFill="1" applyBorder="1" applyAlignment="1">
      <alignment vertical="center"/>
    </xf>
    <xf numFmtId="0" fontId="3" fillId="5" borderId="2" xfId="0" applyFont="1" applyFill="1" applyBorder="1" applyAlignment="1">
      <alignment horizontal="center" vertical="center"/>
    </xf>
    <xf numFmtId="0" fontId="17" fillId="5" borderId="2" xfId="0" applyFont="1" applyFill="1" applyBorder="1" applyAlignment="1">
      <alignment vertical="center"/>
    </xf>
    <xf numFmtId="0" fontId="3" fillId="9" borderId="67" xfId="0" applyFont="1" applyFill="1" applyBorder="1" applyAlignment="1">
      <alignment wrapText="1"/>
    </xf>
    <xf numFmtId="44" fontId="3" fillId="9" borderId="56" xfId="1" applyFont="1" applyFill="1" applyBorder="1" applyAlignment="1">
      <alignment horizontal="left"/>
    </xf>
    <xf numFmtId="0" fontId="3" fillId="9" borderId="83" xfId="0" applyFont="1" applyFill="1" applyBorder="1" applyAlignment="1">
      <alignment wrapText="1"/>
    </xf>
    <xf numFmtId="0" fontId="3" fillId="9" borderId="68" xfId="0" applyFont="1" applyFill="1" applyBorder="1" applyAlignment="1">
      <alignment wrapText="1"/>
    </xf>
    <xf numFmtId="0" fontId="19" fillId="4" borderId="87" xfId="0" applyFont="1" applyFill="1" applyBorder="1"/>
    <xf numFmtId="0" fontId="19" fillId="4" borderId="88" xfId="0" applyFont="1" applyFill="1" applyBorder="1"/>
    <xf numFmtId="0" fontId="19" fillId="4" borderId="89" xfId="0" applyFont="1" applyFill="1" applyBorder="1"/>
    <xf numFmtId="0" fontId="3" fillId="0" borderId="90" xfId="0" applyFont="1" applyBorder="1"/>
    <xf numFmtId="0" fontId="3" fillId="0" borderId="91" xfId="0" applyFont="1" applyBorder="1" applyAlignment="1">
      <alignment wrapText="1"/>
    </xf>
    <xf numFmtId="0" fontId="3" fillId="0" borderId="91" xfId="0" applyFont="1" applyBorder="1"/>
    <xf numFmtId="0" fontId="3" fillId="5" borderId="90" xfId="0" applyFont="1" applyFill="1" applyBorder="1" applyAlignment="1">
      <alignment wrapText="1"/>
    </xf>
    <xf numFmtId="0" fontId="3" fillId="5" borderId="92" xfId="0" applyFont="1" applyFill="1" applyBorder="1" applyAlignment="1">
      <alignment wrapText="1"/>
    </xf>
    <xf numFmtId="0" fontId="3" fillId="5" borderId="93" xfId="0" applyFont="1" applyFill="1" applyBorder="1" applyAlignment="1">
      <alignment wrapText="1"/>
    </xf>
    <xf numFmtId="0" fontId="3" fillId="9" borderId="93" xfId="0" applyFont="1" applyFill="1" applyBorder="1" applyAlignment="1">
      <alignment horizontal="left" wrapText="1"/>
    </xf>
    <xf numFmtId="0" fontId="3" fillId="0" borderId="90" xfId="0" applyFont="1" applyBorder="1" applyAlignment="1">
      <alignment wrapText="1"/>
    </xf>
    <xf numFmtId="0" fontId="3" fillId="0" borderId="93" xfId="0" applyFont="1" applyBorder="1" applyAlignment="1">
      <alignment wrapText="1"/>
    </xf>
    <xf numFmtId="1" fontId="3" fillId="5" borderId="93" xfId="0" applyNumberFormat="1" applyFont="1" applyFill="1" applyBorder="1" applyAlignment="1">
      <alignment wrapText="1"/>
    </xf>
    <xf numFmtId="0" fontId="2" fillId="0" borderId="90" xfId="0" applyFont="1" applyBorder="1"/>
    <xf numFmtId="0" fontId="2" fillId="0" borderId="91" xfId="0" applyFont="1" applyBorder="1"/>
    <xf numFmtId="0" fontId="13" fillId="4" borderId="10" xfId="0" applyFont="1" applyFill="1" applyBorder="1" applyAlignment="1">
      <alignment horizontal="center" vertical="center"/>
    </xf>
    <xf numFmtId="0" fontId="13" fillId="4" borderId="10" xfId="0" applyFont="1" applyFill="1" applyBorder="1" applyAlignment="1">
      <alignment vertical="center"/>
    </xf>
    <xf numFmtId="0" fontId="13" fillId="4" borderId="10" xfId="0" applyFont="1" applyFill="1" applyBorder="1" applyAlignment="1">
      <alignment horizontal="center" vertical="center" wrapText="1"/>
    </xf>
    <xf numFmtId="0" fontId="28" fillId="0" borderId="0" xfId="0" applyFont="1" applyAlignment="1" applyProtection="1">
      <alignment horizontal="center" vertical="center" wrapText="1"/>
      <protection locked="0"/>
    </xf>
    <xf numFmtId="0" fontId="30" fillId="12" borderId="0" xfId="0" applyFont="1" applyFill="1" applyAlignment="1">
      <alignment horizontal="center"/>
    </xf>
    <xf numFmtId="0" fontId="0" fillId="12" borderId="0" xfId="0" applyFill="1" applyAlignment="1">
      <alignment horizontal="center"/>
    </xf>
    <xf numFmtId="4" fontId="31" fillId="12" borderId="0" xfId="0" applyNumberFormat="1" applyFont="1" applyFill="1" applyAlignment="1">
      <alignment horizontal="center" vertical="center"/>
    </xf>
    <xf numFmtId="4" fontId="32" fillId="12" borderId="0" xfId="0" applyNumberFormat="1" applyFont="1" applyFill="1" applyAlignment="1">
      <alignment horizontal="center" vertical="center"/>
    </xf>
    <xf numFmtId="0" fontId="30" fillId="0" borderId="0" xfId="0" applyFont="1" applyAlignment="1">
      <alignment horizontal="center"/>
    </xf>
    <xf numFmtId="165" fontId="43" fillId="4" borderId="0" xfId="0" applyNumberFormat="1" applyFont="1" applyFill="1" applyAlignment="1">
      <alignment horizontal="center" vertical="center"/>
    </xf>
    <xf numFmtId="0" fontId="30" fillId="5" borderId="0" xfId="0" applyFont="1" applyFill="1" applyAlignment="1">
      <alignment horizontal="center"/>
    </xf>
    <xf numFmtId="166" fontId="39" fillId="5" borderId="0" xfId="0" applyNumberFormat="1" applyFont="1" applyFill="1" applyAlignment="1">
      <alignment horizontal="center" vertical="center"/>
    </xf>
    <xf numFmtId="0" fontId="0" fillId="5" borderId="0" xfId="0" applyFill="1" applyAlignment="1">
      <alignment horizontal="center" vertical="center"/>
    </xf>
    <xf numFmtId="0" fontId="45" fillId="12" borderId="0" xfId="0" applyFont="1" applyFill="1" applyAlignment="1">
      <alignment horizontal="center"/>
    </xf>
    <xf numFmtId="167" fontId="43" fillId="4" borderId="0" xfId="0" applyNumberFormat="1" applyFont="1" applyFill="1" applyAlignment="1">
      <alignment horizontal="center" vertical="center"/>
    </xf>
    <xf numFmtId="0" fontId="18" fillId="12" borderId="0" xfId="0" applyFont="1" applyFill="1" applyAlignment="1">
      <alignment horizontal="center"/>
    </xf>
    <xf numFmtId="166" fontId="39" fillId="12" borderId="0" xfId="0" applyNumberFormat="1" applyFont="1" applyFill="1" applyAlignment="1">
      <alignment horizontal="center" vertical="center"/>
    </xf>
    <xf numFmtId="0" fontId="0" fillId="12" borderId="0" xfId="0" applyFill="1" applyAlignment="1">
      <alignment horizontal="center" vertical="center"/>
    </xf>
    <xf numFmtId="0" fontId="18" fillId="5" borderId="0" xfId="0" applyFont="1" applyFill="1" applyAlignment="1">
      <alignment horizontal="center"/>
    </xf>
    <xf numFmtId="165" fontId="31" fillId="12" borderId="0" xfId="0" applyNumberFormat="1" applyFont="1" applyFill="1" applyAlignment="1">
      <alignment horizontal="center" vertical="center"/>
    </xf>
    <xf numFmtId="0" fontId="49" fillId="0" borderId="0" xfId="0" applyFont="1" applyAlignment="1">
      <alignment horizontal="center" vertical="center" wrapText="1"/>
    </xf>
    <xf numFmtId="0" fontId="60" fillId="0" borderId="0" xfId="0" applyFont="1" applyAlignment="1">
      <alignment wrapText="1"/>
    </xf>
    <xf numFmtId="0" fontId="61" fillId="0" borderId="0" xfId="0" applyFont="1" applyAlignment="1">
      <alignment horizontal="center" wrapText="1"/>
    </xf>
    <xf numFmtId="0" fontId="11" fillId="4" borderId="4"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44" xfId="0" applyFont="1" applyFill="1" applyBorder="1" applyAlignment="1">
      <alignment horizontal="center" vertical="center" wrapText="1"/>
    </xf>
    <xf numFmtId="0" fontId="12" fillId="4" borderId="94" xfId="0" applyFont="1" applyFill="1" applyBorder="1" applyAlignment="1">
      <alignment horizontal="center" vertical="center" wrapText="1"/>
    </xf>
    <xf numFmtId="0" fontId="12" fillId="4" borderId="95" xfId="0" applyFont="1" applyFill="1" applyBorder="1" applyAlignment="1">
      <alignment horizontal="center" vertical="center" wrapText="1"/>
    </xf>
    <xf numFmtId="0" fontId="12" fillId="4" borderId="96" xfId="0" applyFont="1" applyFill="1" applyBorder="1" applyAlignment="1">
      <alignment horizontal="center" vertical="center" wrapText="1"/>
    </xf>
    <xf numFmtId="0" fontId="2" fillId="9" borderId="3" xfId="0" applyFont="1" applyFill="1" applyBorder="1" applyAlignment="1">
      <alignment horizontal="center" vertical="center"/>
    </xf>
    <xf numFmtId="0" fontId="2" fillId="9" borderId="7" xfId="0" applyFont="1" applyFill="1" applyBorder="1" applyAlignment="1">
      <alignment horizontal="center" vertical="center"/>
    </xf>
    <xf numFmtId="0" fontId="2" fillId="9" borderId="10" xfId="0" applyFont="1" applyFill="1" applyBorder="1" applyAlignment="1">
      <alignment horizontal="center" vertical="center"/>
    </xf>
    <xf numFmtId="0" fontId="6" fillId="3" borderId="4" xfId="0" applyFont="1" applyFill="1" applyBorder="1" applyAlignment="1">
      <alignment horizontal="left" vertical="center" wrapText="1"/>
    </xf>
    <xf numFmtId="0" fontId="6" fillId="3" borderId="5" xfId="0" applyFont="1" applyFill="1" applyBorder="1" applyAlignment="1">
      <alignment wrapText="1"/>
    </xf>
    <xf numFmtId="0" fontId="6" fillId="3" borderId="6" xfId="0" applyFont="1" applyFill="1" applyBorder="1" applyAlignment="1">
      <alignment wrapText="1"/>
    </xf>
    <xf numFmtId="0" fontId="3" fillId="0" borderId="3" xfId="0" applyFont="1" applyBorder="1" applyAlignment="1">
      <alignment horizontal="center" vertical="center"/>
    </xf>
    <xf numFmtId="0" fontId="3" fillId="0" borderId="10" xfId="0" applyFont="1" applyBorder="1" applyAlignment="1">
      <alignment horizontal="center" vertical="center"/>
    </xf>
    <xf numFmtId="0" fontId="3" fillId="9" borderId="3" xfId="0" applyFont="1" applyFill="1" applyBorder="1" applyAlignment="1">
      <alignment horizontal="center" vertical="center" wrapText="1"/>
    </xf>
    <xf numFmtId="0" fontId="3" fillId="9" borderId="7" xfId="0" applyFont="1" applyFill="1" applyBorder="1" applyAlignment="1">
      <alignment horizontal="center" vertical="center" wrapText="1"/>
    </xf>
    <xf numFmtId="0" fontId="3" fillId="9" borderId="10" xfId="0" applyFont="1" applyFill="1" applyBorder="1" applyAlignment="1">
      <alignment horizontal="center" vertical="center" wrapText="1"/>
    </xf>
    <xf numFmtId="0" fontId="2" fillId="5" borderId="3"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10" xfId="0" applyFont="1" applyFill="1" applyBorder="1" applyAlignment="1">
      <alignment horizontal="center" vertical="center"/>
    </xf>
    <xf numFmtId="0" fontId="3" fillId="9" borderId="3" xfId="0" applyFont="1" applyFill="1" applyBorder="1" applyAlignment="1">
      <alignment horizontal="center" vertical="center"/>
    </xf>
    <xf numFmtId="0" fontId="3" fillId="9" borderId="7" xfId="0" applyFont="1" applyFill="1" applyBorder="1" applyAlignment="1">
      <alignment horizontal="center" vertical="center"/>
    </xf>
    <xf numFmtId="0" fontId="12" fillId="4" borderId="84" xfId="0" applyFont="1" applyFill="1" applyBorder="1" applyAlignment="1">
      <alignment horizontal="center" vertical="center" wrapText="1"/>
    </xf>
    <xf numFmtId="0" fontId="12" fillId="4" borderId="85" xfId="0" applyFont="1" applyFill="1" applyBorder="1" applyAlignment="1">
      <alignment horizontal="center" vertical="center" wrapText="1"/>
    </xf>
    <xf numFmtId="0" fontId="12" fillId="4" borderId="86" xfId="0" applyFont="1" applyFill="1" applyBorder="1" applyAlignment="1">
      <alignment horizontal="center" vertical="center" wrapText="1"/>
    </xf>
    <xf numFmtId="0" fontId="61" fillId="0" borderId="1" xfId="0" applyFont="1" applyBorder="1" applyAlignment="1">
      <alignment horizontal="center" wrapText="1"/>
    </xf>
    <xf numFmtId="0" fontId="61" fillId="0" borderId="51" xfId="0" applyFont="1" applyBorder="1" applyAlignment="1">
      <alignment horizontal="center" wrapText="1"/>
    </xf>
    <xf numFmtId="0" fontId="61" fillId="0" borderId="52" xfId="0" applyFont="1" applyBorder="1" applyAlignment="1">
      <alignment horizontal="center" wrapText="1"/>
    </xf>
    <xf numFmtId="0" fontId="11" fillId="4" borderId="15"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9" fillId="4" borderId="29" xfId="0" applyFont="1" applyFill="1" applyBorder="1" applyAlignment="1">
      <alignment horizontal="center" vertical="center" wrapText="1"/>
    </xf>
    <xf numFmtId="0" fontId="19" fillId="4" borderId="39" xfId="0" applyFont="1" applyFill="1" applyBorder="1" applyAlignment="1">
      <alignment horizontal="center" vertical="center" wrapText="1"/>
    </xf>
    <xf numFmtId="0" fontId="19" fillId="4" borderId="16" xfId="0" applyFont="1" applyFill="1" applyBorder="1" applyAlignment="1">
      <alignment horizontal="center" vertical="center" wrapText="1"/>
    </xf>
    <xf numFmtId="0" fontId="19" fillId="4" borderId="35" xfId="0" applyFont="1" applyFill="1" applyBorder="1" applyAlignment="1">
      <alignment horizontal="center" vertical="center" wrapText="1"/>
    </xf>
    <xf numFmtId="0" fontId="19" fillId="4" borderId="0" xfId="0" applyFont="1" applyFill="1" applyAlignment="1">
      <alignment horizontal="center" vertical="center" wrapText="1"/>
    </xf>
    <xf numFmtId="0" fontId="19" fillId="4" borderId="8" xfId="0" applyFont="1" applyFill="1" applyBorder="1" applyAlignment="1">
      <alignment horizontal="center" vertical="center" wrapText="1"/>
    </xf>
    <xf numFmtId="0" fontId="19" fillId="4" borderId="78" xfId="0" applyFont="1" applyFill="1" applyBorder="1" applyAlignment="1">
      <alignment horizontal="center" vertical="center" wrapText="1"/>
    </xf>
    <xf numFmtId="0" fontId="19" fillId="4" borderId="79" xfId="0" applyFont="1" applyFill="1" applyBorder="1" applyAlignment="1">
      <alignment horizontal="center" vertical="center" wrapText="1"/>
    </xf>
    <xf numFmtId="0" fontId="69" fillId="0" borderId="8" xfId="0" applyFont="1" applyBorder="1" applyAlignment="1">
      <alignment horizontal="center" vertical="center" textRotation="90" wrapText="1"/>
    </xf>
    <xf numFmtId="0" fontId="69" fillId="0" borderId="9" xfId="0" applyFont="1" applyBorder="1" applyAlignment="1">
      <alignment horizontal="center" vertical="center" textRotation="90" wrapText="1"/>
    </xf>
    <xf numFmtId="0" fontId="68" fillId="0" borderId="58" xfId="0" applyFont="1" applyBorder="1" applyAlignment="1">
      <alignment horizontal="center" vertical="center" textRotation="90" wrapText="1"/>
    </xf>
    <xf numFmtId="0" fontId="68" fillId="0" borderId="62" xfId="0" applyFont="1" applyBorder="1" applyAlignment="1">
      <alignment horizontal="center" vertical="center" textRotation="90" wrapText="1"/>
    </xf>
    <xf numFmtId="1" fontId="0" fillId="4" borderId="73" xfId="0" applyNumberFormat="1" applyFill="1" applyBorder="1" applyAlignment="1">
      <alignment horizontal="center"/>
    </xf>
    <xf numFmtId="1" fontId="0" fillId="4" borderId="12" xfId="0" applyNumberFormat="1" applyFill="1" applyBorder="1" applyAlignment="1">
      <alignment horizontal="center"/>
    </xf>
    <xf numFmtId="0" fontId="67" fillId="0" borderId="0" xfId="0" applyFont="1" applyAlignment="1">
      <alignment horizontal="center" wrapText="1"/>
    </xf>
    <xf numFmtId="0" fontId="70" fillId="4" borderId="29" xfId="0" applyFont="1" applyFill="1" applyBorder="1" applyAlignment="1">
      <alignment horizontal="center" vertical="center" wrapText="1"/>
    </xf>
    <xf numFmtId="0" fontId="70" fillId="4" borderId="39" xfId="0" applyFont="1" applyFill="1" applyBorder="1" applyAlignment="1">
      <alignment horizontal="center" vertical="center" wrapText="1"/>
    </xf>
    <xf numFmtId="0" fontId="70" fillId="4" borderId="16" xfId="0" applyFont="1" applyFill="1" applyBorder="1" applyAlignment="1">
      <alignment horizontal="center" vertical="center" wrapText="1"/>
    </xf>
    <xf numFmtId="168" fontId="69" fillId="12" borderId="29" xfId="0" applyNumberFormat="1" applyFont="1" applyFill="1" applyBorder="1" applyAlignment="1">
      <alignment horizontal="center" vertical="center"/>
    </xf>
    <xf numFmtId="168" fontId="69" fillId="12" borderId="39" xfId="0" applyNumberFormat="1" applyFont="1" applyFill="1" applyBorder="1" applyAlignment="1">
      <alignment horizontal="center" vertical="center"/>
    </xf>
    <xf numFmtId="168" fontId="69" fillId="12" borderId="16" xfId="0" applyNumberFormat="1" applyFont="1" applyFill="1" applyBorder="1" applyAlignment="1">
      <alignment horizontal="center" vertical="center"/>
    </xf>
    <xf numFmtId="168" fontId="69" fillId="12" borderId="35" xfId="0" applyNumberFormat="1" applyFont="1" applyFill="1" applyBorder="1" applyAlignment="1">
      <alignment horizontal="center" vertical="center"/>
    </xf>
    <xf numFmtId="168" fontId="69" fillId="12" borderId="0" xfId="0" applyNumberFormat="1" applyFont="1" applyFill="1" applyAlignment="1">
      <alignment horizontal="center" vertical="center"/>
    </xf>
    <xf numFmtId="168" fontId="69" fillId="12" borderId="8" xfId="0" applyNumberFormat="1" applyFont="1" applyFill="1" applyBorder="1" applyAlignment="1">
      <alignment horizontal="center" vertical="center"/>
    </xf>
    <xf numFmtId="168" fontId="69" fillId="12" borderId="34" xfId="0" applyNumberFormat="1" applyFont="1" applyFill="1" applyBorder="1" applyAlignment="1">
      <alignment horizontal="center" vertical="center"/>
    </xf>
    <xf numFmtId="168" fontId="69" fillId="12" borderId="25" xfId="0" applyNumberFormat="1" applyFont="1" applyFill="1" applyBorder="1" applyAlignment="1">
      <alignment horizontal="center" vertical="center"/>
    </xf>
    <xf numFmtId="168" fontId="69" fillId="12" borderId="9" xfId="0" applyNumberFormat="1" applyFont="1" applyFill="1" applyBorder="1" applyAlignment="1">
      <alignment horizontal="center" vertical="center"/>
    </xf>
    <xf numFmtId="0" fontId="66" fillId="4" borderId="29" xfId="0" applyFont="1" applyFill="1" applyBorder="1" applyAlignment="1">
      <alignment horizontal="left" vertical="center" wrapText="1"/>
    </xf>
    <xf numFmtId="0" fontId="27" fillId="0" borderId="35" xfId="0" applyFont="1" applyBorder="1" applyAlignment="1">
      <alignment horizontal="left" vertical="center" wrapText="1"/>
    </xf>
    <xf numFmtId="0" fontId="27" fillId="0" borderId="34" xfId="0" applyFont="1" applyBorder="1" applyAlignment="1">
      <alignment horizontal="left" vertical="center" wrapText="1"/>
    </xf>
    <xf numFmtId="0" fontId="27" fillId="4" borderId="46"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48" xfId="0" applyFont="1" applyFill="1" applyBorder="1" applyAlignment="1">
      <alignment horizontal="center" vertical="center" wrapText="1"/>
    </xf>
    <xf numFmtId="0" fontId="27" fillId="4" borderId="49" xfId="0" applyFont="1" applyFill="1" applyBorder="1" applyAlignment="1">
      <alignment horizontal="center" vertical="center" wrapText="1"/>
    </xf>
    <xf numFmtId="0" fontId="27" fillId="4" borderId="0" xfId="0" applyFont="1" applyFill="1" applyAlignment="1">
      <alignment horizontal="center" vertical="center" wrapText="1"/>
    </xf>
    <xf numFmtId="0" fontId="27" fillId="4" borderId="50"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27" fillId="4" borderId="51" xfId="0" applyFont="1" applyFill="1" applyBorder="1" applyAlignment="1">
      <alignment horizontal="center" vertical="center" wrapText="1"/>
    </xf>
    <xf numFmtId="0" fontId="27" fillId="4" borderId="52" xfId="0" applyFont="1" applyFill="1" applyBorder="1" applyAlignment="1">
      <alignment horizontal="center" vertical="center" wrapText="1"/>
    </xf>
    <xf numFmtId="0" fontId="27" fillId="4" borderId="39" xfId="0" applyFont="1" applyFill="1" applyBorder="1" applyAlignment="1">
      <alignment horizontal="center" vertical="center" wrapText="1"/>
    </xf>
    <xf numFmtId="0" fontId="27" fillId="0" borderId="39"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0" xfId="0" applyFont="1" applyAlignment="1">
      <alignment horizontal="center" vertical="center" wrapText="1"/>
    </xf>
    <xf numFmtId="0" fontId="27" fillId="0" borderId="8" xfId="0" applyFont="1" applyBorder="1" applyAlignment="1">
      <alignment horizontal="center" vertical="center" wrapText="1"/>
    </xf>
    <xf numFmtId="0" fontId="27" fillId="0" borderId="25" xfId="0" applyFont="1" applyBorder="1" applyAlignment="1">
      <alignment horizontal="center" vertical="center" wrapText="1"/>
    </xf>
    <xf numFmtId="0" fontId="27" fillId="0" borderId="9" xfId="0" applyFont="1" applyBorder="1" applyAlignment="1">
      <alignment horizontal="center" vertical="center" wrapText="1"/>
    </xf>
    <xf numFmtId="0" fontId="69" fillId="0" borderId="16" xfId="0" applyFont="1" applyBorder="1" applyAlignment="1">
      <alignment horizontal="center" vertical="center" textRotation="90" wrapText="1"/>
    </xf>
    <xf numFmtId="0" fontId="69" fillId="0" borderId="3" xfId="0" applyFont="1" applyBorder="1" applyAlignment="1">
      <alignment horizontal="center" vertical="center" textRotation="90" wrapText="1"/>
    </xf>
    <xf numFmtId="0" fontId="69" fillId="0" borderId="7" xfId="0" applyFont="1" applyBorder="1" applyAlignment="1">
      <alignment horizontal="center" vertical="center" textRotation="90" wrapText="1"/>
    </xf>
    <xf numFmtId="0" fontId="69" fillId="0" borderId="10" xfId="0" applyFont="1" applyBorder="1" applyAlignment="1">
      <alignment horizontal="center" vertical="center" textRotation="90" wrapText="1"/>
    </xf>
    <xf numFmtId="0" fontId="69" fillId="0" borderId="0" xfId="0" applyFont="1" applyAlignment="1">
      <alignment horizontal="center" vertical="center" textRotation="90" wrapText="1"/>
    </xf>
    <xf numFmtId="0" fontId="69" fillId="0" borderId="25" xfId="0" applyFont="1" applyBorder="1" applyAlignment="1">
      <alignment horizontal="center" vertical="center" textRotation="90" wrapText="1"/>
    </xf>
    <xf numFmtId="0" fontId="12" fillId="4" borderId="4" xfId="0" applyFont="1" applyFill="1" applyBorder="1" applyAlignment="1">
      <alignment horizontal="center" vertical="center" wrapText="1"/>
    </xf>
    <xf numFmtId="0" fontId="0" fillId="0" borderId="39"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59" fillId="4" borderId="39" xfId="0" applyFont="1" applyFill="1" applyBorder="1" applyAlignment="1">
      <alignment horizontal="center" vertical="center" wrapText="1"/>
    </xf>
    <xf numFmtId="0" fontId="59" fillId="0" borderId="39" xfId="0" applyFont="1" applyBorder="1" applyAlignment="1">
      <alignment horizontal="center" vertical="center" wrapText="1"/>
    </xf>
    <xf numFmtId="0" fontId="59" fillId="0" borderId="16" xfId="0" applyFont="1" applyBorder="1" applyAlignment="1">
      <alignment horizontal="center" vertical="center" wrapText="1"/>
    </xf>
    <xf numFmtId="0" fontId="59" fillId="0" borderId="0" xfId="0" applyFont="1" applyAlignment="1">
      <alignment horizontal="center" vertical="center" wrapText="1"/>
    </xf>
    <xf numFmtId="0" fontId="59" fillId="0" borderId="8" xfId="0" applyFont="1" applyBorder="1" applyAlignment="1">
      <alignment horizontal="center" vertical="center" wrapText="1"/>
    </xf>
    <xf numFmtId="0" fontId="59" fillId="0" borderId="25" xfId="0" applyFont="1" applyBorder="1" applyAlignment="1">
      <alignment horizontal="center" vertical="center" wrapText="1"/>
    </xf>
    <xf numFmtId="0" fontId="59" fillId="0" borderId="9" xfId="0" applyFont="1" applyBorder="1" applyAlignment="1">
      <alignment horizontal="center" vertical="center" wrapText="1"/>
    </xf>
    <xf numFmtId="0" fontId="59" fillId="4" borderId="29" xfId="0" applyFont="1" applyFill="1" applyBorder="1" applyAlignment="1">
      <alignment horizontal="center" vertical="center" wrapText="1"/>
    </xf>
    <xf numFmtId="0" fontId="59" fillId="0" borderId="35" xfId="0" applyFont="1" applyBorder="1" applyAlignment="1">
      <alignment horizontal="center" vertical="center" wrapText="1"/>
    </xf>
    <xf numFmtId="0" fontId="10" fillId="4" borderId="29" xfId="0" applyFont="1" applyFill="1" applyBorder="1" applyAlignment="1">
      <alignment horizontal="left" vertical="center" wrapText="1"/>
    </xf>
    <xf numFmtId="0" fontId="0" fillId="0" borderId="35" xfId="0" applyBorder="1" applyAlignment="1">
      <alignment horizontal="left" vertical="center" wrapText="1"/>
    </xf>
    <xf numFmtId="0" fontId="0" fillId="0" borderId="34" xfId="0" applyBorder="1" applyAlignment="1">
      <alignment horizontal="left" vertical="center" wrapText="1"/>
    </xf>
    <xf numFmtId="0" fontId="6" fillId="0" borderId="8" xfId="0" applyFont="1" applyBorder="1" applyAlignment="1">
      <alignment horizontal="center" vertical="center" textRotation="90" wrapText="1"/>
    </xf>
    <xf numFmtId="0" fontId="6" fillId="0" borderId="9" xfId="0" applyFont="1" applyBorder="1" applyAlignment="1">
      <alignment horizontal="center" vertical="center" textRotation="90" wrapText="1"/>
    </xf>
    <xf numFmtId="0" fontId="6" fillId="0" borderId="3" xfId="0" applyFont="1" applyBorder="1" applyAlignment="1">
      <alignment horizontal="center" vertical="center" textRotation="90" wrapText="1"/>
    </xf>
    <xf numFmtId="0" fontId="6" fillId="0" borderId="7" xfId="0" applyFont="1" applyBorder="1" applyAlignment="1">
      <alignment horizontal="center" vertical="center" textRotation="90" wrapText="1"/>
    </xf>
    <xf numFmtId="0" fontId="6" fillId="0" borderId="10" xfId="0" applyFont="1" applyBorder="1" applyAlignment="1">
      <alignment horizontal="center" vertical="center" textRotation="90" wrapText="1"/>
    </xf>
    <xf numFmtId="0" fontId="6" fillId="0" borderId="4" xfId="0" applyFont="1" applyBorder="1" applyAlignment="1">
      <alignment horizontal="center" vertical="center" textRotation="90" wrapText="1"/>
    </xf>
    <xf numFmtId="0" fontId="6" fillId="0" borderId="2" xfId="0" applyFont="1" applyBorder="1" applyAlignment="1">
      <alignment horizontal="center" vertical="center" textRotation="90" wrapText="1"/>
    </xf>
    <xf numFmtId="0" fontId="6" fillId="0" borderId="0" xfId="0" applyFont="1" applyAlignment="1">
      <alignment horizontal="center" vertical="center" textRotation="90" wrapText="1"/>
    </xf>
    <xf numFmtId="0" fontId="6" fillId="0" borderId="25" xfId="0" applyFont="1" applyBorder="1" applyAlignment="1">
      <alignment horizontal="center" vertical="center" textRotation="90" wrapText="1"/>
    </xf>
  </cellXfs>
  <cellStyles count="4">
    <cellStyle name="Comma" xfId="3" builtinId="3"/>
    <cellStyle name="Currency" xfId="1" builtinId="4"/>
    <cellStyle name="Normal" xfId="0" builtinId="0"/>
    <cellStyle name="Percent" xfId="2" builtinId="5"/>
  </cellStyles>
  <dxfs count="9">
    <dxf>
      <font>
        <color rgb="FF006100"/>
      </font>
      <fill>
        <patternFill>
          <bgColor rgb="FFC6EFCE"/>
        </patternFill>
      </fill>
    </dxf>
    <dxf>
      <font>
        <color rgb="FF9C5700"/>
      </font>
      <fill>
        <patternFill>
          <bgColor rgb="FFFFEB9C"/>
        </patternFill>
      </fill>
    </dxf>
    <dxf>
      <font>
        <color theme="5" tint="-0.499984740745262"/>
      </font>
      <fill>
        <patternFill>
          <bgColor theme="5" tint="0.3999450666829432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theme="5" tint="-0.499984740745262"/>
      </font>
      <fill>
        <patternFill>
          <bgColor theme="5" tint="0.39994506668294322"/>
        </patternFill>
      </fill>
    </dxf>
    <dxf>
      <font>
        <color rgb="FF9C0006"/>
      </font>
      <fill>
        <patternFill>
          <bgColor rgb="FFFFC7CE"/>
        </patternFill>
      </fill>
    </dxf>
    <dxf>
      <numFmt numFmtId="169" formatCode="\-"/>
    </dxf>
  </dxfs>
  <tableStyles count="0" defaultTableStyle="TableStyleMedium2" defaultPivotStyle="PivotStyleLight16"/>
  <colors>
    <mruColors>
      <color rgb="FFCC0066"/>
      <color rgb="FFCC99FF"/>
      <color rgb="FFE2EFDA"/>
      <color rgb="FFECF4FA"/>
      <color rgb="FFFF7C80"/>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1-7ED3-44BC-9DDC-8F9FEA9A13B3}"/>
              </c:ext>
            </c:extLst>
          </c:dPt>
          <c:dPt>
            <c:idx val="1"/>
            <c:bubble3D val="0"/>
            <c:spPr>
              <a:solidFill>
                <a:schemeClr val="accent2"/>
              </a:solidFill>
              <a:ln w="19050">
                <a:noFill/>
              </a:ln>
              <a:effectLst/>
            </c:spPr>
            <c:extLst>
              <c:ext xmlns:c16="http://schemas.microsoft.com/office/drawing/2014/chart" uri="{C3380CC4-5D6E-409C-BE32-E72D297353CC}">
                <c16:uniqueId val="{00000003-7ED3-44BC-9DDC-8F9FEA9A13B3}"/>
              </c:ext>
            </c:extLst>
          </c:dPt>
          <c:dPt>
            <c:idx val="2"/>
            <c:bubble3D val="0"/>
            <c:spPr>
              <a:solidFill>
                <a:schemeClr val="accent3"/>
              </a:solidFill>
              <a:ln w="19050">
                <a:noFill/>
              </a:ln>
              <a:effectLst/>
            </c:spPr>
            <c:extLst>
              <c:ext xmlns:c16="http://schemas.microsoft.com/office/drawing/2014/chart" uri="{C3380CC4-5D6E-409C-BE32-E72D297353CC}">
                <c16:uniqueId val="{00000005-7ED3-44BC-9DDC-8F9FEA9A13B3}"/>
              </c:ext>
            </c:extLst>
          </c:dPt>
          <c:dPt>
            <c:idx val="3"/>
            <c:bubble3D val="0"/>
            <c:spPr>
              <a:solidFill>
                <a:schemeClr val="accent4"/>
              </a:solidFill>
              <a:ln w="19050">
                <a:noFill/>
              </a:ln>
              <a:effectLst/>
            </c:spPr>
            <c:extLst>
              <c:ext xmlns:c16="http://schemas.microsoft.com/office/drawing/2014/chart" uri="{C3380CC4-5D6E-409C-BE32-E72D297353CC}">
                <c16:uniqueId val="{00000007-7ED3-44BC-9DDC-8F9FEA9A13B3}"/>
              </c:ext>
            </c:extLst>
          </c:dPt>
          <c:dPt>
            <c:idx val="4"/>
            <c:bubble3D val="0"/>
            <c:spPr>
              <a:solidFill>
                <a:schemeClr val="accent5"/>
              </a:solidFill>
              <a:ln w="19050">
                <a:noFill/>
              </a:ln>
              <a:effectLst/>
            </c:spPr>
            <c:extLst>
              <c:ext xmlns:c16="http://schemas.microsoft.com/office/drawing/2014/chart" uri="{C3380CC4-5D6E-409C-BE32-E72D297353CC}">
                <c16:uniqueId val="{00000009-7ED3-44BC-9DDC-8F9FEA9A13B3}"/>
              </c:ext>
            </c:extLst>
          </c:dPt>
          <c:dPt>
            <c:idx val="5"/>
            <c:bubble3D val="0"/>
            <c:spPr>
              <a:solidFill>
                <a:schemeClr val="accent6"/>
              </a:solidFill>
              <a:ln w="19050">
                <a:noFill/>
              </a:ln>
              <a:effectLst/>
            </c:spPr>
            <c:extLst>
              <c:ext xmlns:c16="http://schemas.microsoft.com/office/drawing/2014/chart" uri="{C3380CC4-5D6E-409C-BE32-E72D297353CC}">
                <c16:uniqueId val="{0000000B-7ED3-44BC-9DDC-8F9FEA9A13B3}"/>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dLblPos val="outEnd"/>
            <c:showLegendKey val="0"/>
            <c:showVal val="0"/>
            <c:showCatName val="0"/>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'Judicial Dashboard'!$BF$14:$BF$19</c:f>
              <c:strCache>
                <c:ptCount val="6"/>
                <c:pt idx="0">
                  <c:v>EMAIL</c:v>
                </c:pt>
                <c:pt idx="1">
                  <c:v>FILE SHARE</c:v>
                </c:pt>
                <c:pt idx="2">
                  <c:v>SOCIAL MEDIA/WEBSITE</c:v>
                </c:pt>
                <c:pt idx="3">
                  <c:v>COMPUTER/LAPTOP</c:v>
                </c:pt>
                <c:pt idx="4">
                  <c:v>MOBILE DEVICE</c:v>
                </c:pt>
                <c:pt idx="5">
                  <c:v>OTHER DATA SOURCES</c:v>
                </c:pt>
              </c:strCache>
            </c:strRef>
          </c:cat>
          <c:val>
            <c:numRef>
              <c:f>'Judicial Dashboard'!$BG$14:$BG$19</c:f>
              <c:numCache>
                <c:formatCode>0%</c:formatCode>
                <c:ptCount val="6"/>
                <c:pt idx="0">
                  <c:v>0.25737624402018455</c:v>
                </c:pt>
                <c:pt idx="1">
                  <c:v>8.0590546005782235E-2</c:v>
                </c:pt>
                <c:pt idx="2">
                  <c:v>8.9501534627139875E-2</c:v>
                </c:pt>
                <c:pt idx="3">
                  <c:v>0.31904229514402932</c:v>
                </c:pt>
                <c:pt idx="4">
                  <c:v>0.25348938020286393</c:v>
                </c:pt>
                <c:pt idx="5">
                  <c:v>0</c:v>
                </c:pt>
              </c:numCache>
            </c:numRef>
          </c:val>
          <c:extLst>
            <c:ext xmlns:c16="http://schemas.microsoft.com/office/drawing/2014/chart" uri="{C3380CC4-5D6E-409C-BE32-E72D297353CC}">
              <c16:uniqueId val="{00000000-8E59-4F7F-99A6-2CCB197037C8}"/>
            </c:ext>
          </c:extLst>
        </c:ser>
        <c:dLbls>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7620000</xdr:colOff>
      <xdr:row>0</xdr:row>
      <xdr:rowOff>0</xdr:rowOff>
    </xdr:from>
    <xdr:to>
      <xdr:col>0</xdr:col>
      <xdr:colOff>8296275</xdr:colOff>
      <xdr:row>0</xdr:row>
      <xdr:rowOff>342900</xdr:rowOff>
    </xdr:to>
    <xdr:pic>
      <xdr:nvPicPr>
        <xdr:cNvPr id="2" name="Picture 1">
          <a:extLst>
            <a:ext uri="{FF2B5EF4-FFF2-40B4-BE49-F238E27FC236}">
              <a16:creationId xmlns:a16="http://schemas.microsoft.com/office/drawing/2014/main" id="{61D6B68D-EA54-A2FC-A3B6-56429DB9A00E}"/>
            </a:ext>
          </a:extLst>
        </xdr:cNvPr>
        <xdr:cNvPicPr>
          <a:picLocks noChangeAspect="1"/>
        </xdr:cNvPicPr>
      </xdr:nvPicPr>
      <xdr:blipFill>
        <a:blip xmlns:r="http://schemas.openxmlformats.org/officeDocument/2006/relationships" r:embed="rId1"/>
        <a:stretch>
          <a:fillRect/>
        </a:stretch>
      </xdr:blipFill>
      <xdr:spPr>
        <a:xfrm>
          <a:off x="7620000" y="0"/>
          <a:ext cx="676275" cy="342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40822</xdr:colOff>
      <xdr:row>11</xdr:row>
      <xdr:rowOff>97970</xdr:rowOff>
    </xdr:from>
    <xdr:to>
      <xdr:col>29</xdr:col>
      <xdr:colOff>226786</xdr:colOff>
      <xdr:row>35</xdr:row>
      <xdr:rowOff>99785</xdr:rowOff>
    </xdr:to>
    <xdr:graphicFrame macro="">
      <xdr:nvGraphicFramePr>
        <xdr:cNvPr id="5" name="Chart 4">
          <a:extLst>
            <a:ext uri="{FF2B5EF4-FFF2-40B4-BE49-F238E27FC236}">
              <a16:creationId xmlns:a16="http://schemas.microsoft.com/office/drawing/2014/main" id="{4ADE57D6-3B26-4579-A180-B84C0B8A619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2</xdr:col>
      <xdr:colOff>219075</xdr:colOff>
      <xdr:row>0</xdr:row>
      <xdr:rowOff>342900</xdr:rowOff>
    </xdr:to>
    <xdr:pic>
      <xdr:nvPicPr>
        <xdr:cNvPr id="2" name="Picture 1">
          <a:extLst>
            <a:ext uri="{FF2B5EF4-FFF2-40B4-BE49-F238E27FC236}">
              <a16:creationId xmlns:a16="http://schemas.microsoft.com/office/drawing/2014/main" id="{90DC8E04-AF91-948A-9DBB-2B47C4109CBC}"/>
            </a:ext>
            <a:ext uri="{147F2762-F138-4A5C-976F-8EAC2B608ADB}">
              <a16:predDERef xmlns:a16="http://schemas.microsoft.com/office/drawing/2014/main" pred="{4ADE57D6-3B26-4579-A180-B84C0B8A6192}"/>
            </a:ext>
          </a:extLst>
        </xdr:cNvPr>
        <xdr:cNvPicPr>
          <a:picLocks noChangeAspect="1"/>
        </xdr:cNvPicPr>
      </xdr:nvPicPr>
      <xdr:blipFill>
        <a:blip xmlns:r="http://schemas.openxmlformats.org/officeDocument/2006/relationships" r:embed="rId2"/>
        <a:stretch>
          <a:fillRect/>
        </a:stretch>
      </xdr:blipFill>
      <xdr:spPr>
        <a:xfrm>
          <a:off x="0" y="0"/>
          <a:ext cx="676275" cy="342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447675</xdr:colOff>
      <xdr:row>0</xdr:row>
      <xdr:rowOff>9525</xdr:rowOff>
    </xdr:from>
    <xdr:to>
      <xdr:col>6</xdr:col>
      <xdr:colOff>1123950</xdr:colOff>
      <xdr:row>0</xdr:row>
      <xdr:rowOff>352425</xdr:rowOff>
    </xdr:to>
    <xdr:pic>
      <xdr:nvPicPr>
        <xdr:cNvPr id="2" name="Picture 1">
          <a:extLst>
            <a:ext uri="{FF2B5EF4-FFF2-40B4-BE49-F238E27FC236}">
              <a16:creationId xmlns:a16="http://schemas.microsoft.com/office/drawing/2014/main" id="{A7F012BA-6F5D-70C5-A2A0-FD270546CFA3}"/>
            </a:ext>
          </a:extLst>
        </xdr:cNvPr>
        <xdr:cNvPicPr>
          <a:picLocks noChangeAspect="1"/>
        </xdr:cNvPicPr>
      </xdr:nvPicPr>
      <xdr:blipFill>
        <a:blip xmlns:r="http://schemas.openxmlformats.org/officeDocument/2006/relationships" r:embed="rId1"/>
        <a:stretch>
          <a:fillRect/>
        </a:stretch>
      </xdr:blipFill>
      <xdr:spPr>
        <a:xfrm>
          <a:off x="7258050" y="9525"/>
          <a:ext cx="676275" cy="342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438150</xdr:colOff>
      <xdr:row>0</xdr:row>
      <xdr:rowOff>0</xdr:rowOff>
    </xdr:from>
    <xdr:to>
      <xdr:col>5</xdr:col>
      <xdr:colOff>1114425</xdr:colOff>
      <xdr:row>0</xdr:row>
      <xdr:rowOff>342900</xdr:rowOff>
    </xdr:to>
    <xdr:pic>
      <xdr:nvPicPr>
        <xdr:cNvPr id="2" name="Picture 1">
          <a:extLst>
            <a:ext uri="{FF2B5EF4-FFF2-40B4-BE49-F238E27FC236}">
              <a16:creationId xmlns:a16="http://schemas.microsoft.com/office/drawing/2014/main" id="{7B3AA0A7-903C-A3D7-0FB8-F3AEED0C9A38}"/>
            </a:ext>
          </a:extLst>
        </xdr:cNvPr>
        <xdr:cNvPicPr>
          <a:picLocks noChangeAspect="1"/>
        </xdr:cNvPicPr>
      </xdr:nvPicPr>
      <xdr:blipFill>
        <a:blip xmlns:r="http://schemas.openxmlformats.org/officeDocument/2006/relationships" r:embed="rId1"/>
        <a:stretch>
          <a:fillRect/>
        </a:stretch>
      </xdr:blipFill>
      <xdr:spPr>
        <a:xfrm>
          <a:off x="8115300" y="0"/>
          <a:ext cx="676275" cy="342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5972175</xdr:colOff>
      <xdr:row>0</xdr:row>
      <xdr:rowOff>19050</xdr:rowOff>
    </xdr:from>
    <xdr:to>
      <xdr:col>3</xdr:col>
      <xdr:colOff>6648450</xdr:colOff>
      <xdr:row>0</xdr:row>
      <xdr:rowOff>361950</xdr:rowOff>
    </xdr:to>
    <xdr:pic>
      <xdr:nvPicPr>
        <xdr:cNvPr id="2" name="Picture 1">
          <a:extLst>
            <a:ext uri="{FF2B5EF4-FFF2-40B4-BE49-F238E27FC236}">
              <a16:creationId xmlns:a16="http://schemas.microsoft.com/office/drawing/2014/main" id="{55827E40-3ADE-DC7A-32C3-6EB4433EA0C6}"/>
            </a:ext>
          </a:extLst>
        </xdr:cNvPr>
        <xdr:cNvPicPr>
          <a:picLocks noChangeAspect="1"/>
        </xdr:cNvPicPr>
      </xdr:nvPicPr>
      <xdr:blipFill>
        <a:blip xmlns:r="http://schemas.openxmlformats.org/officeDocument/2006/relationships" r:embed="rId1"/>
        <a:stretch>
          <a:fillRect/>
        </a:stretch>
      </xdr:blipFill>
      <xdr:spPr>
        <a:xfrm>
          <a:off x="11649075" y="19050"/>
          <a:ext cx="676275" cy="3429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4191000</xdr:colOff>
      <xdr:row>0</xdr:row>
      <xdr:rowOff>38100</xdr:rowOff>
    </xdr:from>
    <xdr:to>
      <xdr:col>2</xdr:col>
      <xdr:colOff>4867275</xdr:colOff>
      <xdr:row>0</xdr:row>
      <xdr:rowOff>381000</xdr:rowOff>
    </xdr:to>
    <xdr:pic>
      <xdr:nvPicPr>
        <xdr:cNvPr id="2" name="Picture 1">
          <a:extLst>
            <a:ext uri="{FF2B5EF4-FFF2-40B4-BE49-F238E27FC236}">
              <a16:creationId xmlns:a16="http://schemas.microsoft.com/office/drawing/2014/main" id="{C3C44AB0-08AC-D068-871F-92C80020D577}"/>
            </a:ext>
          </a:extLst>
        </xdr:cNvPr>
        <xdr:cNvPicPr>
          <a:picLocks noChangeAspect="1"/>
        </xdr:cNvPicPr>
      </xdr:nvPicPr>
      <xdr:blipFill>
        <a:blip xmlns:r="http://schemas.openxmlformats.org/officeDocument/2006/relationships" r:embed="rId1"/>
        <a:stretch>
          <a:fillRect/>
        </a:stretch>
      </xdr:blipFill>
      <xdr:spPr>
        <a:xfrm>
          <a:off x="9010650" y="38100"/>
          <a:ext cx="676275" cy="3429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18</xdr:col>
      <xdr:colOff>409575</xdr:colOff>
      <xdr:row>0</xdr:row>
      <xdr:rowOff>19050</xdr:rowOff>
    </xdr:from>
    <xdr:to>
      <xdr:col>19</xdr:col>
      <xdr:colOff>228600</xdr:colOff>
      <xdr:row>0</xdr:row>
      <xdr:rowOff>361950</xdr:rowOff>
    </xdr:to>
    <xdr:pic>
      <xdr:nvPicPr>
        <xdr:cNvPr id="2" name="Picture 1">
          <a:extLst>
            <a:ext uri="{FF2B5EF4-FFF2-40B4-BE49-F238E27FC236}">
              <a16:creationId xmlns:a16="http://schemas.microsoft.com/office/drawing/2014/main" id="{0CA01AC7-68AA-6C65-A0ED-49D0862F51A2}"/>
            </a:ext>
          </a:extLst>
        </xdr:cNvPr>
        <xdr:cNvPicPr>
          <a:picLocks noChangeAspect="1"/>
        </xdr:cNvPicPr>
      </xdr:nvPicPr>
      <xdr:blipFill>
        <a:blip xmlns:r="http://schemas.openxmlformats.org/officeDocument/2006/relationships" r:embed="rId1"/>
        <a:stretch>
          <a:fillRect/>
        </a:stretch>
      </xdr:blipFill>
      <xdr:spPr>
        <a:xfrm>
          <a:off x="15430500" y="19050"/>
          <a:ext cx="676275" cy="3429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676275</xdr:colOff>
      <xdr:row>0</xdr:row>
      <xdr:rowOff>361950</xdr:rowOff>
    </xdr:to>
    <xdr:pic>
      <xdr:nvPicPr>
        <xdr:cNvPr id="2" name="Picture 1">
          <a:extLst>
            <a:ext uri="{FF2B5EF4-FFF2-40B4-BE49-F238E27FC236}">
              <a16:creationId xmlns:a16="http://schemas.microsoft.com/office/drawing/2014/main" id="{4E7D40D6-0B7A-779D-6AAF-0391C72B67ED}"/>
            </a:ext>
          </a:extLst>
        </xdr:cNvPr>
        <xdr:cNvPicPr>
          <a:picLocks noChangeAspect="1"/>
        </xdr:cNvPicPr>
      </xdr:nvPicPr>
      <xdr:blipFill>
        <a:blip xmlns:r="http://schemas.openxmlformats.org/officeDocument/2006/relationships" r:embed="rId1"/>
        <a:stretch>
          <a:fillRect/>
        </a:stretch>
      </xdr:blipFill>
      <xdr:spPr>
        <a:xfrm>
          <a:off x="0" y="19050"/>
          <a:ext cx="676275" cy="342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2C464-5766-467C-902E-C0EBFE6063C6}">
  <dimension ref="A1:A13"/>
  <sheetViews>
    <sheetView topLeftCell="A4" zoomScale="120" zoomScaleNormal="120" workbookViewId="0">
      <selection activeCell="B2" sqref="B2"/>
    </sheetView>
  </sheetViews>
  <sheetFormatPr defaultColWidth="97" defaultRowHeight="14.25" x14ac:dyDescent="0.2"/>
  <cols>
    <col min="1" max="1" width="124.7109375" style="48" customWidth="1"/>
    <col min="2" max="2" width="46.42578125" style="48" customWidth="1"/>
    <col min="3" max="16384" width="97" style="48"/>
  </cols>
  <sheetData>
    <row r="1" spans="1:1" ht="55.15" customHeight="1" x14ac:dyDescent="0.2">
      <c r="A1" s="275" t="s">
        <v>0</v>
      </c>
    </row>
    <row r="2" spans="1:1" ht="87.75" thickBot="1" x14ac:dyDescent="0.3">
      <c r="A2" s="221" t="s">
        <v>1</v>
      </c>
    </row>
    <row r="3" spans="1:1" ht="51.75" customHeight="1" thickBot="1" x14ac:dyDescent="0.25">
      <c r="A3" s="49" t="s">
        <v>2</v>
      </c>
    </row>
    <row r="4" spans="1:1" ht="51.75" customHeight="1" thickBot="1" x14ac:dyDescent="0.25">
      <c r="A4" s="49" t="s">
        <v>3</v>
      </c>
    </row>
    <row r="5" spans="1:1" ht="47.65" customHeight="1" thickBot="1" x14ac:dyDescent="0.25">
      <c r="A5" s="49" t="s">
        <v>4</v>
      </c>
    </row>
    <row r="6" spans="1:1" ht="73.150000000000006" customHeight="1" thickBot="1" x14ac:dyDescent="0.25">
      <c r="A6" s="44" t="s">
        <v>5</v>
      </c>
    </row>
    <row r="7" spans="1:1" ht="116.65" customHeight="1" thickBot="1" x14ac:dyDescent="0.25">
      <c r="A7" s="44" t="s">
        <v>6</v>
      </c>
    </row>
    <row r="8" spans="1:1" ht="106.9" customHeight="1" thickBot="1" x14ac:dyDescent="0.25">
      <c r="A8" s="44" t="s">
        <v>7</v>
      </c>
    </row>
    <row r="9" spans="1:1" ht="86.65" customHeight="1" thickBot="1" x14ac:dyDescent="0.25">
      <c r="A9" s="44" t="s">
        <v>8</v>
      </c>
    </row>
    <row r="10" spans="1:1" ht="15" thickBot="1" x14ac:dyDescent="0.25"/>
    <row r="11" spans="1:1" ht="48.4" customHeight="1" x14ac:dyDescent="0.2">
      <c r="A11" s="189" t="s">
        <v>9</v>
      </c>
    </row>
    <row r="13" spans="1:1" ht="42.75" x14ac:dyDescent="0.2">
      <c r="A13" s="308" t="s">
        <v>10</v>
      </c>
    </row>
  </sheetData>
  <pageMargins left="0.7" right="0.7" top="0.75" bottom="0.75" header="0.3" footer="0.3"/>
  <pageSetup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3ED18-7767-4F7C-8F26-C4A96ED3D004}">
  <dimension ref="A1:BG40"/>
  <sheetViews>
    <sheetView showGridLines="0" topLeftCell="A10" zoomScale="55" zoomScaleNormal="55" workbookViewId="0">
      <selection activeCell="C1" sqref="C1:I1"/>
    </sheetView>
  </sheetViews>
  <sheetFormatPr defaultColWidth="8.7109375" defaultRowHeight="15" x14ac:dyDescent="0.25"/>
  <cols>
    <col min="1" max="2" width="3.42578125" style="73" customWidth="1"/>
    <col min="3" max="3" width="13.7109375" style="73" bestFit="1" customWidth="1"/>
    <col min="4" max="4" width="61.140625" style="73" bestFit="1" customWidth="1"/>
    <col min="5" max="5" width="3.42578125" style="73" customWidth="1"/>
    <col min="6" max="6" width="3" style="73" customWidth="1"/>
    <col min="7" max="7" width="3.42578125" style="73" customWidth="1"/>
    <col min="8" max="9" width="13.42578125" style="73" customWidth="1"/>
    <col min="10" max="10" width="3.42578125" style="73" customWidth="1"/>
    <col min="11" max="11" width="3" style="73" customWidth="1"/>
    <col min="12" max="12" width="3.42578125" style="73" customWidth="1"/>
    <col min="13" max="14" width="13.42578125" style="73" customWidth="1"/>
    <col min="15" max="15" width="3.42578125" style="73" customWidth="1"/>
    <col min="16" max="16" width="3" style="73" customWidth="1"/>
    <col min="17" max="17" width="3.42578125" style="73" customWidth="1"/>
    <col min="18" max="19" width="13.42578125" style="73" customWidth="1"/>
    <col min="20" max="20" width="3.42578125" style="73" customWidth="1"/>
    <col min="21" max="21" width="3" style="73" customWidth="1"/>
    <col min="22" max="22" width="3.42578125" style="73" customWidth="1"/>
    <col min="23" max="24" width="13.42578125" style="73" customWidth="1"/>
    <col min="25" max="27" width="3.42578125" style="73" customWidth="1"/>
    <col min="28" max="28" width="32.28515625" style="73" customWidth="1"/>
    <col min="29" max="29" width="3" style="73" customWidth="1"/>
    <col min="30" max="55" width="3.42578125" style="73" customWidth="1"/>
    <col min="56" max="56" width="4.28515625" style="73" customWidth="1"/>
    <col min="57" max="57" width="3.42578125" style="73" customWidth="1"/>
    <col min="58" max="59" width="2.7109375" style="130" customWidth="1"/>
    <col min="60" max="16384" width="8.7109375" style="73"/>
  </cols>
  <sheetData>
    <row r="1" spans="1:59" ht="54" customHeight="1" x14ac:dyDescent="0.3">
      <c r="C1" s="629"/>
      <c r="D1" s="629"/>
      <c r="E1" s="629"/>
      <c r="F1" s="629"/>
      <c r="G1" s="629"/>
      <c r="H1" s="629"/>
      <c r="I1" s="629"/>
      <c r="J1" s="11"/>
      <c r="K1" s="11"/>
      <c r="L1" s="11"/>
      <c r="M1" s="11"/>
      <c r="N1" s="1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row>
    <row r="2" spans="1:59" ht="22.9" customHeight="1" x14ac:dyDescent="0.25">
      <c r="A2"/>
      <c r="B2"/>
      <c r="C2" s="112"/>
      <c r="D2" s="74"/>
      <c r="E2" s="74"/>
      <c r="F2" s="74"/>
      <c r="G2" s="74"/>
      <c r="H2" s="74"/>
      <c r="I2" s="74"/>
      <c r="J2" s="74"/>
      <c r="K2" s="74"/>
      <c r="L2" s="612" t="s">
        <v>11</v>
      </c>
      <c r="M2" s="613"/>
      <c r="N2" s="613"/>
      <c r="O2" s="613"/>
      <c r="P2" s="75"/>
      <c r="Q2" s="612" t="s">
        <v>12</v>
      </c>
      <c r="R2" s="613"/>
      <c r="S2" s="613"/>
      <c r="T2" s="613"/>
      <c r="U2" s="75"/>
      <c r="V2" s="612" t="s">
        <v>13</v>
      </c>
      <c r="W2" s="612"/>
      <c r="X2" s="612"/>
      <c r="Y2" s="612"/>
      <c r="Z2" s="612"/>
      <c r="AA2" s="612"/>
      <c r="AB2" s="612"/>
      <c r="AC2" s="612"/>
      <c r="AD2" s="612"/>
      <c r="AE2" s="107"/>
      <c r="AF2" s="107"/>
      <c r="AG2" s="107"/>
      <c r="AH2" s="107"/>
      <c r="AI2" s="107"/>
      <c r="AJ2" s="107"/>
      <c r="AK2" s="107"/>
      <c r="AL2" s="107"/>
      <c r="AM2" s="107"/>
      <c r="AN2" s="107"/>
      <c r="AO2" s="107"/>
      <c r="AP2" s="107"/>
      <c r="AQ2" s="107"/>
      <c r="AR2" s="107"/>
      <c r="AS2" s="107"/>
      <c r="AT2" s="107"/>
      <c r="AU2" s="107"/>
      <c r="AV2" s="107"/>
      <c r="AW2" s="107"/>
      <c r="AX2" s="107"/>
      <c r="AY2" s="107"/>
      <c r="AZ2" s="107"/>
      <c r="BA2" s="107"/>
      <c r="BB2" s="107"/>
      <c r="BC2"/>
      <c r="BD2"/>
      <c r="BE2"/>
      <c r="BF2" s="131"/>
    </row>
    <row r="3" spans="1:59" ht="14.65" customHeight="1" x14ac:dyDescent="0.25">
      <c r="A3"/>
      <c r="B3"/>
      <c r="C3" s="74"/>
      <c r="D3" s="74"/>
      <c r="E3" s="74"/>
      <c r="F3" s="74"/>
      <c r="G3" s="74"/>
      <c r="H3" s="74"/>
      <c r="I3" s="74"/>
      <c r="J3" s="74"/>
      <c r="K3" s="74"/>
      <c r="L3" s="614">
        <f>'Judicial Detail View'!G3</f>
        <v>69.75</v>
      </c>
      <c r="M3" s="615"/>
      <c r="N3" s="615"/>
      <c r="O3" s="615"/>
      <c r="P3" s="1"/>
      <c r="Q3" s="614">
        <f>'Judicial Detail View'!G4</f>
        <v>2.3694794059787569</v>
      </c>
      <c r="R3" s="615"/>
      <c r="S3" s="615"/>
      <c r="T3" s="615"/>
      <c r="U3" s="110"/>
      <c r="V3" s="627">
        <f>'Judicial Detail View'!G13</f>
        <v>94447.544389749193</v>
      </c>
      <c r="W3" s="627"/>
      <c r="X3" s="627"/>
      <c r="Y3" s="627"/>
      <c r="Z3" s="627"/>
      <c r="AA3" s="627"/>
      <c r="AB3" s="627"/>
      <c r="AC3" s="627"/>
      <c r="AD3" s="627"/>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c r="BD3"/>
      <c r="BE3"/>
      <c r="BF3" s="611"/>
    </row>
    <row r="4" spans="1:59" ht="14.65" customHeight="1" x14ac:dyDescent="0.25">
      <c r="A4"/>
      <c r="B4"/>
      <c r="C4" s="80" t="s">
        <v>14</v>
      </c>
      <c r="D4" s="77" t="s">
        <v>15</v>
      </c>
      <c r="E4" s="74"/>
      <c r="F4" s="74"/>
      <c r="G4" s="74"/>
      <c r="H4" s="74"/>
      <c r="I4" s="74"/>
      <c r="J4" s="74"/>
      <c r="K4" s="74"/>
      <c r="L4" s="615"/>
      <c r="M4" s="615"/>
      <c r="N4" s="615"/>
      <c r="O4" s="615"/>
      <c r="P4" s="1"/>
      <c r="Q4" s="615"/>
      <c r="R4" s="615"/>
      <c r="S4" s="615"/>
      <c r="T4" s="615"/>
      <c r="U4" s="110"/>
      <c r="V4" s="627"/>
      <c r="W4" s="627"/>
      <c r="X4" s="627"/>
      <c r="Y4" s="627"/>
      <c r="Z4" s="627"/>
      <c r="AA4" s="627"/>
      <c r="AB4" s="627"/>
      <c r="AC4" s="627"/>
      <c r="AD4" s="627"/>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c r="BD4"/>
      <c r="BE4"/>
      <c r="BF4" s="611"/>
    </row>
    <row r="5" spans="1:59" ht="14.65" customHeight="1" x14ac:dyDescent="0.25">
      <c r="A5"/>
      <c r="B5"/>
      <c r="C5" s="76" t="s">
        <v>16</v>
      </c>
      <c r="D5" s="77" t="s">
        <v>17</v>
      </c>
      <c r="E5" s="78"/>
      <c r="F5" s="79"/>
      <c r="G5" s="79"/>
      <c r="H5" s="79"/>
      <c r="I5" s="79"/>
      <c r="J5" s="79"/>
      <c r="K5" s="79"/>
      <c r="L5" s="615"/>
      <c r="M5" s="615"/>
      <c r="N5" s="615"/>
      <c r="O5" s="615"/>
      <c r="P5" s="1"/>
      <c r="Q5" s="615"/>
      <c r="R5" s="615"/>
      <c r="S5" s="615"/>
      <c r="T5" s="615"/>
      <c r="U5" s="110"/>
      <c r="V5" s="627"/>
      <c r="W5" s="627"/>
      <c r="X5" s="627"/>
      <c r="Y5" s="627"/>
      <c r="Z5" s="627"/>
      <c r="AA5" s="627"/>
      <c r="AB5" s="627"/>
      <c r="AC5" s="627"/>
      <c r="AD5" s="627"/>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c r="BD5"/>
      <c r="BE5"/>
      <c r="BF5" s="611"/>
    </row>
    <row r="6" spans="1:59" ht="14.65" customHeight="1" x14ac:dyDescent="0.25">
      <c r="A6"/>
      <c r="B6"/>
      <c r="C6" s="76" t="s">
        <v>18</v>
      </c>
      <c r="D6" s="77" t="s">
        <v>19</v>
      </c>
      <c r="E6" s="78"/>
      <c r="F6" s="79"/>
      <c r="G6" s="79"/>
      <c r="H6" s="79"/>
      <c r="I6" s="79"/>
      <c r="J6" s="79"/>
      <c r="K6" s="79"/>
      <c r="L6" s="615"/>
      <c r="M6" s="615"/>
      <c r="N6" s="615"/>
      <c r="O6" s="615"/>
      <c r="P6" s="1"/>
      <c r="Q6" s="615"/>
      <c r="R6" s="615"/>
      <c r="S6" s="615"/>
      <c r="T6" s="615"/>
      <c r="U6" s="110"/>
      <c r="V6" s="627"/>
      <c r="W6" s="627"/>
      <c r="X6" s="627"/>
      <c r="Y6" s="627"/>
      <c r="Z6" s="627"/>
      <c r="AA6" s="627"/>
      <c r="AB6" s="627"/>
      <c r="AC6" s="627"/>
      <c r="AD6" s="627"/>
      <c r="AE6" s="134"/>
      <c r="AF6" s="134"/>
      <c r="AG6" s="134"/>
      <c r="AH6" s="134"/>
      <c r="AI6" s="134"/>
      <c r="AJ6" s="134"/>
      <c r="AK6" s="134"/>
      <c r="AL6" s="134"/>
      <c r="AM6" s="134"/>
      <c r="AN6" s="134"/>
      <c r="AO6" s="134"/>
      <c r="AP6" s="134"/>
      <c r="AQ6" s="134"/>
      <c r="AR6" s="134"/>
      <c r="AS6" s="134"/>
      <c r="AT6" s="134"/>
      <c r="AU6" s="134"/>
      <c r="AV6" s="134"/>
      <c r="AW6" s="134"/>
      <c r="AX6" s="134"/>
      <c r="AY6" s="134"/>
      <c r="AZ6" s="134"/>
      <c r="BA6" s="134"/>
      <c r="BB6" s="134"/>
      <c r="BC6"/>
      <c r="BD6"/>
      <c r="BE6"/>
      <c r="BF6" s="611"/>
    </row>
    <row r="7" spans="1:59" ht="26.65" customHeight="1" x14ac:dyDescent="0.25">
      <c r="C7" s="80"/>
      <c r="D7" s="77"/>
      <c r="E7" s="81"/>
      <c r="F7" s="82"/>
      <c r="G7" s="82"/>
      <c r="H7" s="82"/>
      <c r="I7" s="82"/>
      <c r="J7" s="82"/>
      <c r="K7" s="82"/>
      <c r="L7" s="111"/>
      <c r="M7" s="111"/>
      <c r="N7" s="111"/>
      <c r="O7" s="111"/>
      <c r="P7" s="111"/>
      <c r="Q7" s="111"/>
      <c r="R7" s="111"/>
      <c r="S7" s="111"/>
      <c r="T7" s="111"/>
      <c r="U7" s="111"/>
      <c r="V7" s="628" t="s">
        <v>20</v>
      </c>
      <c r="W7" s="628"/>
      <c r="X7" s="628"/>
      <c r="Y7" s="628"/>
      <c r="Z7" s="628"/>
      <c r="AA7" s="628"/>
      <c r="AB7" s="628"/>
      <c r="AC7" s="628"/>
      <c r="AD7" s="628"/>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row>
    <row r="8" spans="1:59" ht="14.65" customHeight="1" x14ac:dyDescent="0.25">
      <c r="C8" s="83"/>
    </row>
    <row r="9" spans="1:59" ht="14.65" customHeight="1" x14ac:dyDescent="0.25">
      <c r="A9"/>
      <c r="B9"/>
      <c r="C9" s="84"/>
      <c r="D9" s="84"/>
      <c r="E9" s="85"/>
      <c r="F9" s="85"/>
      <c r="G9"/>
      <c r="H9" s="84"/>
      <c r="I9" s="86"/>
      <c r="J9"/>
      <c r="K9"/>
      <c r="L9"/>
      <c r="M9"/>
      <c r="N9" s="87"/>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row>
    <row r="10" spans="1:59" ht="19.899999999999999" customHeight="1" x14ac:dyDescent="0.25">
      <c r="A10"/>
      <c r="B10" s="88"/>
      <c r="C10" s="612" t="s">
        <v>21</v>
      </c>
      <c r="D10" s="612"/>
      <c r="E10" s="88"/>
      <c r="F10" s="85"/>
      <c r="G10" s="88"/>
      <c r="H10" s="612" t="s">
        <v>22</v>
      </c>
      <c r="I10" s="612"/>
      <c r="J10" s="88"/>
      <c r="K10" s="89"/>
      <c r="L10" s="612" t="s">
        <v>23</v>
      </c>
      <c r="M10" s="616"/>
      <c r="N10" s="616"/>
      <c r="O10" s="616"/>
      <c r="P10"/>
      <c r="Q10" s="612" t="s">
        <v>24</v>
      </c>
      <c r="R10" s="616"/>
      <c r="S10" s="616"/>
      <c r="T10" s="616"/>
      <c r="U10" s="107"/>
      <c r="V10" s="612" t="s">
        <v>25</v>
      </c>
      <c r="W10" s="612"/>
      <c r="X10" s="612"/>
      <c r="Y10" s="612"/>
      <c r="Z10" s="612"/>
      <c r="AA10" s="612"/>
      <c r="AB10" s="612"/>
      <c r="AC10" s="612"/>
      <c r="AD10" s="612"/>
      <c r="AE10" s="107"/>
      <c r="AF10" s="107"/>
      <c r="AG10" s="107"/>
      <c r="AH10" s="107"/>
      <c r="AI10" s="107"/>
      <c r="AJ10" s="107"/>
      <c r="AK10" s="107"/>
      <c r="AL10" s="107"/>
      <c r="AM10" s="107"/>
      <c r="AN10" s="107"/>
      <c r="AO10" s="107"/>
      <c r="AP10" s="107"/>
      <c r="AQ10" s="107"/>
      <c r="AR10" s="107"/>
      <c r="AS10" s="107"/>
      <c r="AT10" s="107"/>
      <c r="AU10" s="107"/>
      <c r="AV10" s="107"/>
      <c r="AW10" s="107"/>
      <c r="AX10" s="107"/>
      <c r="AY10" s="107"/>
      <c r="AZ10" s="107"/>
      <c r="BA10" s="107"/>
      <c r="BB10" s="107"/>
      <c r="BC10"/>
      <c r="BD10"/>
      <c r="BE10"/>
    </row>
    <row r="11" spans="1:59" ht="14.65" customHeight="1" x14ac:dyDescent="0.25">
      <c r="A11"/>
      <c r="B11" s="88"/>
      <c r="C11" s="88"/>
      <c r="D11" s="90"/>
      <c r="E11" s="90"/>
      <c r="F11" s="87"/>
      <c r="G11" s="88"/>
      <c r="H11" s="88"/>
      <c r="I11" s="90"/>
      <c r="J11" s="90"/>
      <c r="K11" s="91"/>
      <c r="L11" s="88"/>
      <c r="M11" s="88"/>
      <c r="N11" s="90"/>
      <c r="O11" s="90"/>
      <c r="P11"/>
      <c r="Q11" s="88"/>
      <c r="R11" s="88"/>
      <c r="S11" s="90"/>
      <c r="T11" s="90"/>
      <c r="U11" s="87"/>
      <c r="V11" s="88"/>
      <c r="W11" s="88"/>
      <c r="X11" s="90"/>
      <c r="Y11" s="90"/>
      <c r="Z11" s="90"/>
      <c r="AA11" s="90"/>
      <c r="AB11" s="90"/>
      <c r="AC11" s="90"/>
      <c r="AD11" s="90"/>
      <c r="AE11" s="87"/>
      <c r="AF11" s="87"/>
      <c r="AG11" s="87"/>
      <c r="AH11" s="87"/>
      <c r="AI11" s="87"/>
      <c r="AJ11" s="87"/>
      <c r="AK11" s="87"/>
      <c r="AL11" s="87"/>
      <c r="AM11" s="87"/>
      <c r="AN11" s="87"/>
      <c r="AO11" s="87"/>
      <c r="AP11" s="87"/>
      <c r="AQ11" s="87"/>
      <c r="AR11" s="87"/>
      <c r="AS11" s="87"/>
      <c r="AT11" s="87"/>
      <c r="AU11" s="87"/>
      <c r="AV11" s="87"/>
      <c r="AW11" s="87"/>
      <c r="AX11" s="87"/>
      <c r="AY11" s="87"/>
      <c r="AZ11" s="87"/>
      <c r="BA11" s="87"/>
      <c r="BB11" s="87"/>
      <c r="BC11"/>
      <c r="BD11"/>
      <c r="BE11"/>
    </row>
    <row r="12" spans="1:59" ht="14.65" customHeight="1" x14ac:dyDescent="0.25">
      <c r="A12"/>
      <c r="B12" s="88"/>
      <c r="C12" s="88"/>
      <c r="D12" s="92"/>
      <c r="E12" s="93"/>
      <c r="F12" s="85"/>
      <c r="G12" s="88"/>
      <c r="H12" s="88"/>
      <c r="I12" s="92"/>
      <c r="J12" s="93"/>
      <c r="K12" s="89"/>
      <c r="L12" s="88"/>
      <c r="M12" s="88"/>
      <c r="N12" s="92"/>
      <c r="O12" s="93"/>
      <c r="P12"/>
      <c r="Q12" s="88"/>
      <c r="R12" s="88"/>
      <c r="S12" s="92"/>
      <c r="T12" s="93"/>
      <c r="U12" s="86"/>
      <c r="V12" s="88"/>
      <c r="W12" s="88"/>
      <c r="X12" s="92"/>
      <c r="Y12" s="93"/>
      <c r="Z12" s="93"/>
      <c r="AA12" s="93"/>
      <c r="AB12" s="93"/>
      <c r="AC12" s="93"/>
      <c r="AD12" s="93"/>
      <c r="AE12" s="86"/>
      <c r="AF12" s="86"/>
      <c r="AG12" s="86"/>
      <c r="AH12" s="86"/>
      <c r="AI12" s="86"/>
      <c r="AJ12" s="86"/>
      <c r="AK12" s="86"/>
      <c r="AL12" s="86"/>
      <c r="AM12" s="86"/>
      <c r="AN12" s="86"/>
      <c r="AO12" s="86"/>
      <c r="AP12" s="86"/>
      <c r="AQ12" s="86"/>
      <c r="AR12" s="86"/>
      <c r="AS12" s="86"/>
      <c r="AT12" s="86"/>
      <c r="AU12" s="86"/>
      <c r="AV12" s="86"/>
      <c r="AW12" s="86"/>
      <c r="AX12" s="86"/>
      <c r="AY12" s="86"/>
      <c r="AZ12" s="86"/>
      <c r="BA12" s="86"/>
      <c r="BB12" s="86"/>
      <c r="BC12"/>
      <c r="BD12"/>
      <c r="BE12"/>
    </row>
    <row r="13" spans="1:59" ht="14.65" customHeight="1" x14ac:dyDescent="0.55000000000000004">
      <c r="A13"/>
      <c r="B13" s="88"/>
      <c r="C13" s="617">
        <f>'Judicial Detail View'!G5</f>
        <v>3750</v>
      </c>
      <c r="D13" s="617"/>
      <c r="E13" s="122"/>
      <c r="F13" s="123"/>
      <c r="G13" s="124"/>
      <c r="H13" s="617">
        <f>'Judicial Detail View'!G6</f>
        <v>4650</v>
      </c>
      <c r="I13" s="617"/>
      <c r="J13" s="122"/>
      <c r="K13" s="125"/>
      <c r="L13" s="124"/>
      <c r="M13" s="617">
        <f>'Judicial Detail View'!G7</f>
        <v>1726.3195595999998</v>
      </c>
      <c r="N13" s="617"/>
      <c r="O13" s="122"/>
      <c r="P13" s="126"/>
      <c r="Q13" s="124"/>
      <c r="R13" s="617">
        <f>'Judicial Detail View'!G8</f>
        <v>3565.7853311999997</v>
      </c>
      <c r="S13" s="617"/>
      <c r="T13" s="94"/>
      <c r="U13" s="108"/>
      <c r="V13" s="88"/>
      <c r="W13" s="306"/>
      <c r="X13" s="306"/>
      <c r="Y13" s="94"/>
      <c r="Z13" s="94"/>
      <c r="AA13" s="94"/>
      <c r="AB13" s="94"/>
      <c r="AC13" s="94"/>
      <c r="AD13" s="94"/>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8"/>
      <c r="BA13" s="108"/>
      <c r="BB13" s="108"/>
      <c r="BC13"/>
      <c r="BD13"/>
      <c r="BE13"/>
    </row>
    <row r="14" spans="1:59" ht="14.65" customHeight="1" x14ac:dyDescent="0.55000000000000004">
      <c r="A14"/>
      <c r="B14" s="88"/>
      <c r="C14" s="617"/>
      <c r="D14" s="617"/>
      <c r="E14" s="127"/>
      <c r="F14" s="128"/>
      <c r="G14" s="124"/>
      <c r="H14" s="617"/>
      <c r="I14" s="617"/>
      <c r="J14" s="127"/>
      <c r="K14" s="126"/>
      <c r="L14" s="124"/>
      <c r="M14" s="617"/>
      <c r="N14" s="617"/>
      <c r="O14" s="127"/>
      <c r="P14" s="126"/>
      <c r="Q14" s="124"/>
      <c r="R14" s="617"/>
      <c r="S14" s="617"/>
      <c r="T14" s="93"/>
      <c r="U14" s="86"/>
      <c r="V14" s="88"/>
      <c r="W14" s="306"/>
      <c r="X14" s="306"/>
      <c r="Y14" s="93"/>
      <c r="Z14" s="93"/>
      <c r="AA14" s="93"/>
      <c r="AB14" s="93"/>
      <c r="AC14" s="93"/>
      <c r="AD14" s="93"/>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c r="BD14"/>
      <c r="BE14"/>
      <c r="BF14" s="130" t="s">
        <v>26</v>
      </c>
      <c r="BG14" s="132">
        <f>'Judicial Detail View'!B13/'Judicial Detail View'!G13</f>
        <v>0.25737624402018455</v>
      </c>
    </row>
    <row r="15" spans="1:59" ht="14.65" customHeight="1" x14ac:dyDescent="0.55000000000000004">
      <c r="A15"/>
      <c r="B15" s="88"/>
      <c r="C15" s="617"/>
      <c r="D15" s="617"/>
      <c r="E15" s="122"/>
      <c r="F15" s="123"/>
      <c r="G15" s="124"/>
      <c r="H15" s="617"/>
      <c r="I15" s="617"/>
      <c r="J15" s="122"/>
      <c r="K15" s="126"/>
      <c r="L15" s="124"/>
      <c r="M15" s="617"/>
      <c r="N15" s="617"/>
      <c r="O15" s="122"/>
      <c r="P15" s="126"/>
      <c r="Q15" s="124"/>
      <c r="R15" s="617"/>
      <c r="S15" s="617"/>
      <c r="T15" s="94"/>
      <c r="U15" s="108"/>
      <c r="V15" s="88"/>
      <c r="W15" s="624"/>
      <c r="X15" s="625"/>
      <c r="Y15" s="94"/>
      <c r="Z15" s="94"/>
      <c r="AA15" s="94"/>
      <c r="AB15" s="94"/>
      <c r="AC15" s="94"/>
      <c r="AD15" s="94"/>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c r="BC15"/>
      <c r="BD15"/>
      <c r="BE15"/>
      <c r="BF15" s="130" t="s">
        <v>27</v>
      </c>
      <c r="BG15" s="132">
        <f>'Judicial Detail View'!C13/'Judicial Detail View'!G13</f>
        <v>8.0590546005782235E-2</v>
      </c>
    </row>
    <row r="16" spans="1:59" ht="14.65" customHeight="1" x14ac:dyDescent="0.55000000000000004">
      <c r="A16"/>
      <c r="B16" s="88"/>
      <c r="C16" s="621"/>
      <c r="D16" s="621"/>
      <c r="E16" s="124"/>
      <c r="F16" s="128"/>
      <c r="G16" s="124"/>
      <c r="H16" s="621"/>
      <c r="I16" s="621"/>
      <c r="J16" s="124"/>
      <c r="K16" s="126"/>
      <c r="L16" s="124"/>
      <c r="M16" s="621"/>
      <c r="N16" s="621"/>
      <c r="O16" s="124"/>
      <c r="P16" s="126"/>
      <c r="Q16" s="124"/>
      <c r="R16" s="621"/>
      <c r="S16" s="621"/>
      <c r="T16" s="88"/>
      <c r="U16"/>
      <c r="V16" s="88"/>
      <c r="W16" s="625"/>
      <c r="X16" s="625"/>
      <c r="Y16" s="88"/>
      <c r="Z16" s="88"/>
      <c r="AA16" s="88"/>
      <c r="AB16" s="88"/>
      <c r="AC16" s="88"/>
      <c r="AD16" s="88"/>
      <c r="AE16"/>
      <c r="AF16"/>
      <c r="AG16"/>
      <c r="AH16"/>
      <c r="AI16"/>
      <c r="AJ16"/>
      <c r="AK16"/>
      <c r="AL16"/>
      <c r="AM16"/>
      <c r="AN16"/>
      <c r="AO16"/>
      <c r="AP16"/>
      <c r="AQ16"/>
      <c r="AR16"/>
      <c r="AS16"/>
      <c r="AT16"/>
      <c r="AU16"/>
      <c r="AV16"/>
      <c r="AW16"/>
      <c r="AX16"/>
      <c r="AY16"/>
      <c r="AZ16"/>
      <c r="BA16"/>
      <c r="BB16"/>
      <c r="BC16"/>
      <c r="BD16"/>
      <c r="BE16"/>
      <c r="BF16" s="130" t="s">
        <v>28</v>
      </c>
      <c r="BG16" s="132">
        <f>'Judicial Detail View'!E13/'Judicial Detail View'!G13</f>
        <v>8.9501534627139875E-2</v>
      </c>
    </row>
    <row r="17" spans="1:59" ht="14.65" customHeight="1" x14ac:dyDescent="0.55000000000000004">
      <c r="A17"/>
      <c r="B17" s="88"/>
      <c r="C17" s="124"/>
      <c r="D17" s="124"/>
      <c r="E17" s="124"/>
      <c r="F17" s="126"/>
      <c r="G17" s="124"/>
      <c r="H17" s="124"/>
      <c r="I17" s="124"/>
      <c r="J17" s="124"/>
      <c r="K17" s="126"/>
      <c r="L17" s="124"/>
      <c r="M17" s="124"/>
      <c r="N17" s="124"/>
      <c r="O17" s="124"/>
      <c r="P17" s="126"/>
      <c r="Q17" s="124"/>
      <c r="R17" s="124"/>
      <c r="S17" s="124"/>
      <c r="T17" s="88"/>
      <c r="U17"/>
      <c r="V17" s="88"/>
      <c r="W17" s="625"/>
      <c r="X17" s="625"/>
      <c r="Y17" s="88"/>
      <c r="Z17" s="88"/>
      <c r="AA17" s="88"/>
      <c r="AB17" s="88"/>
      <c r="AC17" s="88"/>
      <c r="AD17" s="88"/>
      <c r="AE17"/>
      <c r="AF17"/>
      <c r="AG17"/>
      <c r="AH17"/>
      <c r="AI17"/>
      <c r="AJ17"/>
      <c r="AK17"/>
      <c r="AL17"/>
      <c r="AM17"/>
      <c r="AN17"/>
      <c r="AO17"/>
      <c r="AP17"/>
      <c r="AQ17"/>
      <c r="AR17"/>
      <c r="AS17"/>
      <c r="AT17"/>
      <c r="AU17"/>
      <c r="AV17"/>
      <c r="AW17"/>
      <c r="AX17"/>
      <c r="AY17"/>
      <c r="AZ17"/>
      <c r="BA17"/>
      <c r="BB17"/>
      <c r="BC17"/>
      <c r="BD17"/>
      <c r="BE17"/>
      <c r="BF17" s="130" t="s">
        <v>29</v>
      </c>
      <c r="BG17" s="132">
        <f>'Judicial Detail View'!D13/'Judicial Detail View'!G13</f>
        <v>0.31904229514402932</v>
      </c>
    </row>
    <row r="18" spans="1:59" ht="14.65" customHeight="1" x14ac:dyDescent="0.55000000000000004">
      <c r="A18"/>
      <c r="B18" s="88"/>
      <c r="C18" s="622">
        <f>C13/V3</f>
        <v>3.9704579131514234E-2</v>
      </c>
      <c r="D18" s="622"/>
      <c r="E18" s="124"/>
      <c r="F18" s="126"/>
      <c r="G18" s="124"/>
      <c r="H18" s="622">
        <f>H13/V3</f>
        <v>4.9233678123077648E-2</v>
      </c>
      <c r="I18" s="622"/>
      <c r="J18" s="124"/>
      <c r="K18" s="126"/>
      <c r="L18" s="124"/>
      <c r="M18" s="622">
        <f>M13/V3</f>
        <v>1.8278077749445065E-2</v>
      </c>
      <c r="N18" s="622"/>
      <c r="O18" s="124"/>
      <c r="P18" s="126"/>
      <c r="Q18" s="124"/>
      <c r="R18" s="622">
        <f>R13/V3</f>
        <v>3.7754134892966154E-2</v>
      </c>
      <c r="S18" s="622"/>
      <c r="T18" s="88"/>
      <c r="U18"/>
      <c r="V18" s="88"/>
      <c r="W18" s="625"/>
      <c r="X18" s="625"/>
      <c r="Y18" s="88"/>
      <c r="Z18" s="88"/>
      <c r="AA18" s="88"/>
      <c r="AB18" s="88"/>
      <c r="AC18" s="88"/>
      <c r="AD18" s="88"/>
      <c r="AE18"/>
      <c r="AF18"/>
      <c r="AG18"/>
      <c r="AH18"/>
      <c r="AI18"/>
      <c r="AJ18"/>
      <c r="AK18"/>
      <c r="AL18"/>
      <c r="AM18"/>
      <c r="AN18"/>
      <c r="AO18"/>
      <c r="AP18"/>
      <c r="AQ18"/>
      <c r="AR18"/>
      <c r="AS18"/>
      <c r="AT18"/>
      <c r="AU18"/>
      <c r="AV18"/>
      <c r="AW18"/>
      <c r="AX18"/>
      <c r="AY18"/>
      <c r="AZ18"/>
      <c r="BA18"/>
      <c r="BB18"/>
      <c r="BC18"/>
      <c r="BD18"/>
      <c r="BE18"/>
      <c r="BF18" s="130" t="s">
        <v>30</v>
      </c>
      <c r="BG18" s="132">
        <f>'Judicial Detail View'!F13/'Judicial Detail View'!G13</f>
        <v>0.25348938020286393</v>
      </c>
    </row>
    <row r="19" spans="1:59" ht="14.65" customHeight="1" x14ac:dyDescent="0.55000000000000004">
      <c r="A19"/>
      <c r="B19" s="88"/>
      <c r="C19" s="622"/>
      <c r="D19" s="622"/>
      <c r="E19" s="124"/>
      <c r="F19" s="126"/>
      <c r="G19" s="124"/>
      <c r="H19" s="622"/>
      <c r="I19" s="622"/>
      <c r="J19" s="124"/>
      <c r="K19" s="126"/>
      <c r="L19" s="124"/>
      <c r="M19" s="622"/>
      <c r="N19" s="622"/>
      <c r="O19" s="124"/>
      <c r="P19" s="126"/>
      <c r="Q19" s="124"/>
      <c r="R19" s="622"/>
      <c r="S19" s="622"/>
      <c r="T19" s="88"/>
      <c r="U19"/>
      <c r="V19" s="88"/>
      <c r="W19" s="623"/>
      <c r="X19" s="623"/>
      <c r="Y19" s="88"/>
      <c r="Z19" s="88"/>
      <c r="AA19" s="88"/>
      <c r="AB19" s="88"/>
      <c r="AC19" s="88"/>
      <c r="AD19" s="88"/>
      <c r="AE19"/>
      <c r="AF19"/>
      <c r="AG19"/>
      <c r="AH19"/>
      <c r="AI19"/>
      <c r="AJ19"/>
      <c r="AK19"/>
      <c r="AL19"/>
      <c r="AM19"/>
      <c r="AN19"/>
      <c r="AO19"/>
      <c r="AP19"/>
      <c r="AQ19"/>
      <c r="AR19"/>
      <c r="AS19"/>
      <c r="AT19"/>
      <c r="AU19"/>
      <c r="AV19"/>
      <c r="AW19"/>
      <c r="AX19"/>
      <c r="AY19"/>
      <c r="AZ19"/>
      <c r="BA19"/>
      <c r="BB19"/>
      <c r="BC19"/>
      <c r="BD19"/>
      <c r="BE19"/>
      <c r="BF19" s="130" t="s">
        <v>31</v>
      </c>
      <c r="BG19" s="132" t="e">
        <f>'Judicial Detail View'!#REF!/'Judicial Detail View'!G13</f>
        <v>#REF!</v>
      </c>
    </row>
    <row r="20" spans="1:59" ht="14.65" customHeight="1" x14ac:dyDescent="0.55000000000000004">
      <c r="A20"/>
      <c r="B20" s="88"/>
      <c r="C20" s="622"/>
      <c r="D20" s="622"/>
      <c r="E20" s="129"/>
      <c r="F20" s="126"/>
      <c r="G20" s="124"/>
      <c r="H20" s="622"/>
      <c r="I20" s="622"/>
      <c r="J20" s="129"/>
      <c r="K20" s="126"/>
      <c r="L20" s="124"/>
      <c r="M20" s="622"/>
      <c r="N20" s="622"/>
      <c r="O20" s="129"/>
      <c r="P20" s="126"/>
      <c r="Q20" s="124"/>
      <c r="R20" s="622"/>
      <c r="S20" s="622"/>
      <c r="T20" s="96"/>
      <c r="U20" s="109"/>
      <c r="V20" s="88"/>
      <c r="W20" s="306"/>
      <c r="X20" s="306"/>
      <c r="Y20" s="96"/>
      <c r="Z20" s="96"/>
      <c r="AA20" s="96"/>
      <c r="AB20" s="96"/>
      <c r="AC20" s="96"/>
      <c r="AD20" s="96"/>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c r="BD20"/>
      <c r="BE20"/>
    </row>
    <row r="21" spans="1:59" ht="14.65" customHeight="1" x14ac:dyDescent="0.25">
      <c r="A21"/>
      <c r="B21" s="88"/>
      <c r="C21" s="95"/>
      <c r="D21" s="95"/>
      <c r="E21" s="97"/>
      <c r="F21"/>
      <c r="G21" s="88"/>
      <c r="H21" s="623"/>
      <c r="I21" s="623"/>
      <c r="J21" s="97"/>
      <c r="K21"/>
      <c r="L21" s="88"/>
      <c r="M21" s="95"/>
      <c r="N21" s="95"/>
      <c r="O21" s="97"/>
      <c r="P21"/>
      <c r="Q21" s="88"/>
      <c r="R21" s="305"/>
      <c r="S21" s="305"/>
      <c r="T21" s="97"/>
      <c r="U21" s="101"/>
      <c r="V21" s="88"/>
      <c r="W21" s="305"/>
      <c r="X21" s="305"/>
      <c r="Y21" s="97"/>
      <c r="Z21" s="97"/>
      <c r="AA21" s="97"/>
      <c r="AB21" s="97"/>
      <c r="AC21" s="97"/>
      <c r="AD21" s="97"/>
      <c r="AE21" s="101"/>
      <c r="AF21" s="101"/>
      <c r="AG21" s="101"/>
      <c r="AH21" s="101"/>
      <c r="AI21" s="101"/>
      <c r="AJ21" s="101"/>
      <c r="AK21" s="101"/>
      <c r="AL21" s="101"/>
      <c r="AM21" s="101"/>
      <c r="AN21" s="101"/>
      <c r="AO21" s="101"/>
      <c r="AP21" s="101"/>
      <c r="AQ21" s="101"/>
      <c r="AR21" s="101"/>
      <c r="AS21" s="101"/>
      <c r="AT21" s="101"/>
      <c r="AU21" s="101"/>
      <c r="AV21" s="101"/>
      <c r="AW21" s="101"/>
      <c r="AX21" s="101"/>
      <c r="AY21" s="101"/>
      <c r="AZ21" s="101"/>
      <c r="BA21" s="101"/>
      <c r="BB21" s="101"/>
      <c r="BC21"/>
      <c r="BD21"/>
      <c r="BE21"/>
    </row>
    <row r="22" spans="1:59" ht="14.65" customHeight="1" x14ac:dyDescent="0.25">
      <c r="A22"/>
      <c r="B22" s="88"/>
      <c r="C22" s="88"/>
      <c r="D22" s="98"/>
      <c r="E22" s="97"/>
      <c r="F22"/>
      <c r="G22" s="88"/>
      <c r="H22" s="88"/>
      <c r="I22" s="98"/>
      <c r="J22" s="97"/>
      <c r="K22"/>
      <c r="L22" s="88"/>
      <c r="M22" s="88"/>
      <c r="N22" s="98"/>
      <c r="O22" s="97"/>
      <c r="P22"/>
      <c r="Q22" s="88"/>
      <c r="R22" s="88"/>
      <c r="S22" s="98"/>
      <c r="T22" s="97"/>
      <c r="U22" s="101"/>
      <c r="V22" s="88"/>
      <c r="W22" s="88"/>
      <c r="X22" s="98"/>
      <c r="Y22" s="97"/>
      <c r="Z22" s="97"/>
      <c r="AA22" s="97"/>
      <c r="AB22" s="97"/>
      <c r="AC22" s="97"/>
      <c r="AD22" s="97"/>
      <c r="AE22" s="101"/>
      <c r="AF22" s="101"/>
      <c r="AG22" s="101"/>
      <c r="AH22" s="101"/>
      <c r="AI22" s="101"/>
      <c r="AJ22" s="101"/>
      <c r="AK22" s="101"/>
      <c r="AL22" s="101"/>
      <c r="AM22" s="101"/>
      <c r="AN22" s="101"/>
      <c r="AO22" s="101"/>
      <c r="AP22" s="101"/>
      <c r="AQ22" s="101"/>
      <c r="AR22" s="101"/>
      <c r="AS22" s="101"/>
      <c r="AT22" s="101"/>
      <c r="AU22" s="101"/>
      <c r="AV22" s="101"/>
      <c r="AW22" s="101"/>
      <c r="AX22" s="101"/>
      <c r="AY22" s="101"/>
      <c r="AZ22" s="101"/>
      <c r="BA22" s="101"/>
      <c r="BB22" s="101"/>
      <c r="BC22"/>
      <c r="BD22"/>
      <c r="BE22"/>
    </row>
    <row r="23" spans="1:59" ht="14.65" customHeight="1" x14ac:dyDescent="0.25">
      <c r="A23"/>
      <c r="B23"/>
      <c r="C23"/>
      <c r="D23" s="99"/>
      <c r="E23" s="75"/>
      <c r="F23" s="75"/>
      <c r="G23" s="100"/>
      <c r="H23" s="99"/>
      <c r="I23" s="75"/>
      <c r="J23"/>
      <c r="K23"/>
      <c r="L23"/>
      <c r="M23"/>
      <c r="N23"/>
      <c r="O23"/>
      <c r="P23"/>
      <c r="Q23"/>
      <c r="R23"/>
      <c r="S23"/>
      <c r="T23"/>
      <c r="U23"/>
      <c r="V23" s="88"/>
      <c r="W23" s="88"/>
      <c r="X23" s="88"/>
      <c r="Y23" s="88"/>
      <c r="Z23" s="88"/>
      <c r="AA23" s="88"/>
      <c r="AB23" s="88"/>
      <c r="AC23" s="88"/>
      <c r="AD23" s="88"/>
      <c r="AE23"/>
      <c r="AF23"/>
      <c r="AG23"/>
      <c r="AH23"/>
      <c r="AI23"/>
      <c r="AJ23"/>
      <c r="AK23"/>
      <c r="AL23"/>
      <c r="AM23"/>
      <c r="AN23"/>
      <c r="AO23"/>
      <c r="AP23"/>
      <c r="AQ23"/>
      <c r="AR23"/>
      <c r="AS23"/>
      <c r="AT23"/>
      <c r="AU23"/>
      <c r="AV23"/>
      <c r="AW23"/>
      <c r="AX23"/>
      <c r="AY23"/>
      <c r="AZ23"/>
      <c r="BA23"/>
      <c r="BB23"/>
      <c r="BC23"/>
      <c r="BD23"/>
      <c r="BE23"/>
    </row>
    <row r="24" spans="1:59" ht="19.149999999999999" customHeight="1" x14ac:dyDescent="0.25">
      <c r="A24"/>
      <c r="B24" s="88"/>
      <c r="C24" s="612" t="s">
        <v>32</v>
      </c>
      <c r="D24" s="612"/>
      <c r="E24" s="88"/>
      <c r="F24" s="85"/>
      <c r="G24" s="88"/>
      <c r="H24" s="612" t="s">
        <v>33</v>
      </c>
      <c r="I24" s="612"/>
      <c r="J24" s="88"/>
      <c r="K24" s="89"/>
      <c r="L24" s="612" t="s">
        <v>34</v>
      </c>
      <c r="M24" s="616"/>
      <c r="N24" s="616"/>
      <c r="O24" s="616"/>
      <c r="P24"/>
      <c r="Q24" s="618"/>
      <c r="R24" s="618"/>
      <c r="S24" s="618"/>
      <c r="T24" s="618"/>
      <c r="U24" s="107"/>
      <c r="V24" s="113"/>
      <c r="W24" s="113"/>
      <c r="X24" s="113"/>
      <c r="Y24" s="113"/>
      <c r="Z24" s="303"/>
      <c r="AA24" s="612"/>
      <c r="AB24" s="612"/>
      <c r="AC24" s="612"/>
      <c r="AD24" s="612"/>
      <c r="AE24" s="107"/>
      <c r="AF24" s="107"/>
      <c r="AG24" s="107"/>
      <c r="AH24" s="107"/>
      <c r="AI24" s="107"/>
      <c r="AJ24" s="107"/>
      <c r="AK24" s="107"/>
      <c r="AL24" s="107"/>
      <c r="AM24" s="107"/>
      <c r="AN24" s="107"/>
      <c r="AO24" s="107"/>
      <c r="AP24" s="107"/>
      <c r="AQ24" s="107"/>
      <c r="AR24" s="107"/>
      <c r="AS24" s="107"/>
      <c r="AT24" s="107"/>
      <c r="AU24" s="107"/>
      <c r="AV24" s="107"/>
      <c r="AW24" s="107"/>
      <c r="AX24" s="107"/>
      <c r="AY24" s="107"/>
      <c r="AZ24" s="107"/>
      <c r="BA24" s="107"/>
      <c r="BB24" s="107"/>
      <c r="BC24"/>
      <c r="BD24"/>
      <c r="BE24"/>
    </row>
    <row r="25" spans="1:59" ht="14.65" customHeight="1" x14ac:dyDescent="0.25">
      <c r="A25"/>
      <c r="B25" s="88"/>
      <c r="C25" s="88"/>
      <c r="D25" s="90"/>
      <c r="E25" s="90"/>
      <c r="F25" s="87"/>
      <c r="G25" s="88"/>
      <c r="H25" s="88"/>
      <c r="I25" s="90"/>
      <c r="J25" s="90"/>
      <c r="K25" s="91"/>
      <c r="L25" s="88"/>
      <c r="M25" s="88"/>
      <c r="N25" s="90"/>
      <c r="O25" s="90"/>
      <c r="P25"/>
      <c r="Q25" s="114"/>
      <c r="R25" s="114"/>
      <c r="S25" s="115"/>
      <c r="T25" s="115"/>
      <c r="U25" s="87"/>
      <c r="V25" s="88"/>
      <c r="W25" s="88"/>
      <c r="X25" s="90"/>
      <c r="Y25" s="90"/>
      <c r="Z25" s="90"/>
      <c r="AA25" s="88"/>
      <c r="AB25" s="88"/>
      <c r="AC25" s="90"/>
      <c r="AD25" s="90"/>
      <c r="AE25" s="87"/>
      <c r="AF25" s="87"/>
      <c r="AG25" s="87"/>
      <c r="AH25" s="87"/>
      <c r="AI25" s="87"/>
      <c r="AJ25" s="87"/>
      <c r="AK25" s="87"/>
      <c r="AL25" s="87"/>
      <c r="AM25" s="87"/>
      <c r="AN25" s="87"/>
      <c r="AO25" s="87"/>
      <c r="AP25" s="87"/>
      <c r="AQ25" s="87"/>
      <c r="AR25" s="87"/>
      <c r="AS25" s="87"/>
      <c r="AT25" s="87"/>
      <c r="AU25" s="87"/>
      <c r="AV25" s="87"/>
      <c r="AW25" s="87"/>
      <c r="AX25" s="87"/>
      <c r="AY25" s="87"/>
      <c r="AZ25" s="87"/>
      <c r="BA25" s="87"/>
      <c r="BB25" s="87"/>
      <c r="BC25"/>
      <c r="BD25"/>
      <c r="BE25"/>
    </row>
    <row r="26" spans="1:59" ht="14.65" customHeight="1" x14ac:dyDescent="0.25">
      <c r="A26"/>
      <c r="B26" s="88"/>
      <c r="C26" s="88"/>
      <c r="D26" s="92"/>
      <c r="E26" s="93"/>
      <c r="F26" s="85"/>
      <c r="G26" s="88"/>
      <c r="H26" s="88"/>
      <c r="I26" s="92"/>
      <c r="J26" s="93"/>
      <c r="K26" s="89"/>
      <c r="L26" s="88"/>
      <c r="M26" s="88"/>
      <c r="N26" s="92"/>
      <c r="O26" s="93"/>
      <c r="P26"/>
      <c r="Q26" s="114"/>
      <c r="R26" s="114"/>
      <c r="S26" s="116"/>
      <c r="T26" s="117"/>
      <c r="U26" s="86"/>
      <c r="V26" s="88"/>
      <c r="W26" s="88"/>
      <c r="X26" s="92"/>
      <c r="Y26" s="93"/>
      <c r="Z26" s="93"/>
      <c r="AA26" s="88"/>
      <c r="AB26" s="88"/>
      <c r="AC26" s="92"/>
      <c r="AD26" s="93"/>
      <c r="AE26" s="86"/>
      <c r="AF26" s="86"/>
      <c r="AG26" s="86"/>
      <c r="AH26" s="86"/>
      <c r="AI26" s="86"/>
      <c r="AJ26" s="86"/>
      <c r="AK26" s="86"/>
      <c r="AL26" s="86"/>
      <c r="AM26" s="86"/>
      <c r="AN26" s="86"/>
      <c r="AO26" s="86"/>
      <c r="AP26" s="86"/>
      <c r="AQ26" s="86"/>
      <c r="AR26" s="86"/>
      <c r="AS26" s="86"/>
      <c r="AT26" s="86"/>
      <c r="AU26" s="86"/>
      <c r="AV26" s="86"/>
      <c r="AW26" s="86"/>
      <c r="AX26" s="86"/>
      <c r="AY26" s="86"/>
      <c r="AZ26" s="86"/>
      <c r="BA26" s="86"/>
      <c r="BB26" s="86"/>
      <c r="BC26"/>
      <c r="BD26"/>
      <c r="BE26"/>
    </row>
    <row r="27" spans="1:59" ht="14.65" customHeight="1" x14ac:dyDescent="0.55000000000000004">
      <c r="A27"/>
      <c r="B27" s="88"/>
      <c r="C27" s="617">
        <f>'Judicial Detail View'!G10</f>
        <v>40359.373729667925</v>
      </c>
      <c r="D27" s="617"/>
      <c r="E27" s="122"/>
      <c r="F27" s="123"/>
      <c r="G27" s="124"/>
      <c r="H27" s="617">
        <f>'Judicial Detail View'!G11</f>
        <v>1204.9400459479214</v>
      </c>
      <c r="I27" s="617"/>
      <c r="J27" s="122"/>
      <c r="K27" s="125"/>
      <c r="L27" s="124"/>
      <c r="M27" s="617">
        <f>'Judicial Detail View'!G12</f>
        <v>4594.0411899999999</v>
      </c>
      <c r="N27" s="617"/>
      <c r="O27" s="94"/>
      <c r="P27"/>
      <c r="Q27" s="114"/>
      <c r="R27" s="304"/>
      <c r="S27" s="304"/>
      <c r="T27" s="118"/>
      <c r="U27" s="108"/>
      <c r="V27" s="88"/>
      <c r="W27" s="306"/>
      <c r="X27" s="306"/>
      <c r="Y27" s="94"/>
      <c r="Z27" s="94"/>
      <c r="AA27" s="88"/>
      <c r="AB27" s="306"/>
      <c r="AC27" s="306"/>
      <c r="AD27" s="94"/>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c r="BD27"/>
      <c r="BE27"/>
      <c r="BG27" s="133"/>
    </row>
    <row r="28" spans="1:59" ht="14.65" customHeight="1" x14ac:dyDescent="0.55000000000000004">
      <c r="A28"/>
      <c r="B28" s="88"/>
      <c r="C28" s="617"/>
      <c r="D28" s="617"/>
      <c r="E28" s="127"/>
      <c r="F28" s="128"/>
      <c r="G28" s="124"/>
      <c r="H28" s="617"/>
      <c r="I28" s="617"/>
      <c r="J28" s="127"/>
      <c r="K28" s="126"/>
      <c r="L28" s="124"/>
      <c r="M28" s="617"/>
      <c r="N28" s="617"/>
      <c r="O28" s="93"/>
      <c r="P28"/>
      <c r="Q28" s="114"/>
      <c r="R28" s="304"/>
      <c r="S28" s="304"/>
      <c r="T28" s="117"/>
      <c r="U28" s="86"/>
      <c r="V28" s="88"/>
      <c r="W28" s="306"/>
      <c r="X28" s="306"/>
      <c r="Y28" s="93"/>
      <c r="Z28" s="93"/>
      <c r="AA28" s="88"/>
      <c r="AB28" s="306"/>
      <c r="AC28" s="306"/>
      <c r="AD28" s="93"/>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c r="BD28"/>
      <c r="BE28"/>
    </row>
    <row r="29" spans="1:59" ht="14.65" customHeight="1" x14ac:dyDescent="0.55000000000000004">
      <c r="A29"/>
      <c r="B29" s="88"/>
      <c r="C29" s="617"/>
      <c r="D29" s="617"/>
      <c r="E29" s="122"/>
      <c r="F29" s="123"/>
      <c r="G29" s="124"/>
      <c r="H29" s="617"/>
      <c r="I29" s="617"/>
      <c r="J29" s="122"/>
      <c r="K29" s="126"/>
      <c r="L29" s="124"/>
      <c r="M29" s="617"/>
      <c r="N29" s="617"/>
      <c r="O29" s="94"/>
      <c r="P29"/>
      <c r="Q29" s="114"/>
      <c r="R29" s="619"/>
      <c r="S29" s="620"/>
      <c r="T29" s="118"/>
      <c r="U29" s="108"/>
      <c r="V29" s="88"/>
      <c r="W29" s="624"/>
      <c r="X29" s="625"/>
      <c r="Y29" s="94"/>
      <c r="Z29" s="94"/>
      <c r="AA29" s="88"/>
      <c r="AB29" s="624"/>
      <c r="AC29" s="625"/>
      <c r="AD29" s="94"/>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c r="BD29"/>
      <c r="BE29"/>
    </row>
    <row r="30" spans="1:59" ht="14.65" customHeight="1" x14ac:dyDescent="0.55000000000000004">
      <c r="A30"/>
      <c r="B30" s="88"/>
      <c r="C30" s="621"/>
      <c r="D30" s="621"/>
      <c r="E30" s="124"/>
      <c r="F30" s="128"/>
      <c r="G30" s="124"/>
      <c r="H30" s="621"/>
      <c r="I30" s="621"/>
      <c r="J30" s="124"/>
      <c r="K30" s="126"/>
      <c r="L30" s="124"/>
      <c r="M30" s="621"/>
      <c r="N30" s="621"/>
      <c r="O30" s="88"/>
      <c r="P30"/>
      <c r="Q30" s="114"/>
      <c r="R30" s="620"/>
      <c r="S30" s="620"/>
      <c r="T30" s="114"/>
      <c r="U30"/>
      <c r="V30" s="88"/>
      <c r="W30" s="625"/>
      <c r="X30" s="625"/>
      <c r="Y30" s="88"/>
      <c r="Z30" s="88"/>
      <c r="AA30" s="88"/>
      <c r="AB30" s="625"/>
      <c r="AC30" s="625"/>
      <c r="AD30" s="88"/>
      <c r="AE30"/>
      <c r="AF30"/>
      <c r="AG30"/>
      <c r="AH30"/>
      <c r="AI30"/>
      <c r="AJ30"/>
      <c r="AK30"/>
      <c r="AL30"/>
      <c r="AM30"/>
      <c r="AN30"/>
      <c r="AO30"/>
      <c r="AP30"/>
      <c r="AQ30"/>
      <c r="AR30"/>
      <c r="AS30"/>
      <c r="AT30"/>
      <c r="AU30"/>
      <c r="AV30"/>
      <c r="AW30"/>
      <c r="AX30"/>
      <c r="AY30"/>
      <c r="AZ30"/>
      <c r="BA30"/>
      <c r="BB30"/>
      <c r="BC30"/>
      <c r="BD30"/>
      <c r="BE30"/>
    </row>
    <row r="31" spans="1:59" ht="14.65" customHeight="1" x14ac:dyDescent="0.55000000000000004">
      <c r="A31"/>
      <c r="B31" s="88"/>
      <c r="C31" s="124"/>
      <c r="D31" s="124"/>
      <c r="E31" s="124"/>
      <c r="F31" s="126"/>
      <c r="G31" s="124"/>
      <c r="H31" s="124"/>
      <c r="I31" s="124"/>
      <c r="J31" s="124"/>
      <c r="K31" s="126"/>
      <c r="L31" s="124"/>
      <c r="M31" s="124"/>
      <c r="N31" s="124"/>
      <c r="O31" s="88"/>
      <c r="P31"/>
      <c r="Q31" s="114"/>
      <c r="R31" s="620"/>
      <c r="S31" s="620"/>
      <c r="T31" s="114"/>
      <c r="U31"/>
      <c r="V31" s="88"/>
      <c r="W31" s="625"/>
      <c r="X31" s="625"/>
      <c r="Y31" s="88"/>
      <c r="Z31" s="88"/>
      <c r="AA31" s="88"/>
      <c r="AB31" s="625"/>
      <c r="AC31" s="625"/>
      <c r="AD31" s="88"/>
      <c r="AE31"/>
      <c r="AF31"/>
      <c r="AG31"/>
      <c r="AH31"/>
      <c r="AI31"/>
      <c r="AJ31"/>
      <c r="AK31"/>
      <c r="AL31"/>
      <c r="AM31"/>
      <c r="AN31"/>
      <c r="AO31"/>
      <c r="AP31"/>
      <c r="AQ31"/>
      <c r="AR31"/>
      <c r="AS31"/>
      <c r="AT31"/>
      <c r="AU31"/>
      <c r="AV31"/>
      <c r="AW31"/>
      <c r="AX31"/>
      <c r="AY31"/>
      <c r="AZ31"/>
      <c r="BA31"/>
      <c r="BB31"/>
      <c r="BC31"/>
      <c r="BD31"/>
      <c r="BE31"/>
    </row>
    <row r="32" spans="1:59" ht="14.65" customHeight="1" x14ac:dyDescent="0.55000000000000004">
      <c r="A32"/>
      <c r="B32" s="88"/>
      <c r="C32" s="622">
        <f>C27/V3</f>
        <v>0.42732051945278848</v>
      </c>
      <c r="D32" s="622"/>
      <c r="E32" s="124"/>
      <c r="F32" s="126"/>
      <c r="G32" s="124"/>
      <c r="H32" s="622">
        <f>H27/V3</f>
        <v>1.2757769974151904E-2</v>
      </c>
      <c r="I32" s="622"/>
      <c r="J32" s="124"/>
      <c r="K32" s="126"/>
      <c r="L32" s="124"/>
      <c r="M32" s="622">
        <f>M27/V3</f>
        <v>4.8641192523144215E-2</v>
      </c>
      <c r="N32" s="622"/>
      <c r="O32" s="88"/>
      <c r="P32"/>
      <c r="Q32" s="114"/>
      <c r="R32" s="620"/>
      <c r="S32" s="620"/>
      <c r="T32" s="114"/>
      <c r="U32"/>
      <c r="V32" s="88"/>
      <c r="W32" s="625"/>
      <c r="X32" s="625"/>
      <c r="Y32" s="88"/>
      <c r="Z32" s="88"/>
      <c r="AA32" s="88"/>
      <c r="AB32" s="625"/>
      <c r="AC32" s="625"/>
      <c r="AD32" s="88"/>
      <c r="AE32"/>
      <c r="AF32"/>
      <c r="AG32"/>
      <c r="AH32"/>
      <c r="AI32"/>
      <c r="AJ32"/>
      <c r="AK32"/>
      <c r="AL32"/>
      <c r="AM32"/>
      <c r="AN32"/>
      <c r="AO32"/>
      <c r="AP32"/>
      <c r="AQ32"/>
      <c r="AR32"/>
      <c r="AS32"/>
      <c r="AT32"/>
      <c r="AU32"/>
      <c r="AV32"/>
      <c r="AW32"/>
      <c r="AX32"/>
      <c r="AY32"/>
      <c r="AZ32"/>
      <c r="BA32"/>
      <c r="BB32"/>
      <c r="BC32"/>
      <c r="BD32"/>
      <c r="BE32"/>
    </row>
    <row r="33" spans="1:57" ht="14.65" customHeight="1" x14ac:dyDescent="0.55000000000000004">
      <c r="A33"/>
      <c r="B33" s="88"/>
      <c r="C33" s="622"/>
      <c r="D33" s="622"/>
      <c r="E33" s="124"/>
      <c r="F33" s="126"/>
      <c r="G33" s="124"/>
      <c r="H33" s="622"/>
      <c r="I33" s="622"/>
      <c r="J33" s="124"/>
      <c r="K33" s="126"/>
      <c r="L33" s="124"/>
      <c r="M33" s="622"/>
      <c r="N33" s="622"/>
      <c r="O33" s="88"/>
      <c r="P33"/>
      <c r="Q33" s="114"/>
      <c r="R33" s="626"/>
      <c r="S33" s="626"/>
      <c r="T33" s="114"/>
      <c r="U33"/>
      <c r="V33" s="88"/>
      <c r="W33" s="623"/>
      <c r="X33" s="623"/>
      <c r="Y33" s="88"/>
      <c r="Z33" s="88"/>
      <c r="AA33" s="88"/>
      <c r="AB33" s="623"/>
      <c r="AC33" s="623"/>
      <c r="AD33" s="88"/>
      <c r="AE33"/>
      <c r="AF33"/>
      <c r="AG33"/>
      <c r="AH33"/>
      <c r="AI33"/>
      <c r="AJ33"/>
      <c r="AK33"/>
      <c r="AL33"/>
      <c r="AM33"/>
      <c r="AN33"/>
      <c r="AO33"/>
      <c r="AP33"/>
      <c r="AQ33"/>
      <c r="AR33"/>
      <c r="AS33"/>
      <c r="AT33"/>
      <c r="AU33"/>
      <c r="AV33"/>
      <c r="AW33"/>
      <c r="AX33"/>
      <c r="AY33"/>
      <c r="AZ33"/>
      <c r="BA33"/>
      <c r="BB33"/>
      <c r="BC33"/>
      <c r="BD33"/>
      <c r="BE33"/>
    </row>
    <row r="34" spans="1:57" ht="14.65" customHeight="1" x14ac:dyDescent="0.55000000000000004">
      <c r="A34"/>
      <c r="B34" s="88"/>
      <c r="C34" s="622"/>
      <c r="D34" s="622"/>
      <c r="E34" s="129"/>
      <c r="F34" s="126"/>
      <c r="G34" s="124"/>
      <c r="H34" s="622"/>
      <c r="I34" s="622"/>
      <c r="J34" s="129"/>
      <c r="K34" s="126"/>
      <c r="L34" s="124"/>
      <c r="M34" s="622"/>
      <c r="N34" s="622"/>
      <c r="O34" s="96"/>
      <c r="P34"/>
      <c r="Q34" s="114"/>
      <c r="R34" s="304"/>
      <c r="S34" s="304"/>
      <c r="T34" s="119"/>
      <c r="U34" s="109"/>
      <c r="V34" s="88"/>
      <c r="W34" s="306"/>
      <c r="X34" s="306"/>
      <c r="Y34" s="96"/>
      <c r="Z34" s="96"/>
      <c r="AA34" s="88"/>
      <c r="AB34" s="306"/>
      <c r="AC34" s="306"/>
      <c r="AD34" s="96"/>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09"/>
      <c r="BC34"/>
      <c r="BD34"/>
      <c r="BE34"/>
    </row>
    <row r="35" spans="1:57" ht="14.65" customHeight="1" x14ac:dyDescent="0.25">
      <c r="A35"/>
      <c r="B35" s="88"/>
      <c r="C35" s="95"/>
      <c r="D35" s="95"/>
      <c r="E35" s="97"/>
      <c r="F35"/>
      <c r="G35" s="88"/>
      <c r="H35" s="623"/>
      <c r="I35" s="623"/>
      <c r="J35" s="97"/>
      <c r="K35"/>
      <c r="L35" s="88"/>
      <c r="M35" s="95"/>
      <c r="N35" s="95"/>
      <c r="O35" s="97"/>
      <c r="P35"/>
      <c r="Q35" s="114"/>
      <c r="R35" s="307"/>
      <c r="S35" s="307"/>
      <c r="T35" s="120"/>
      <c r="U35" s="101"/>
      <c r="V35" s="88"/>
      <c r="W35" s="305"/>
      <c r="X35" s="305"/>
      <c r="Y35" s="97"/>
      <c r="Z35" s="97"/>
      <c r="AA35" s="88"/>
      <c r="AB35" s="305"/>
      <c r="AC35" s="305"/>
      <c r="AD35" s="97"/>
      <c r="AE35" s="101"/>
      <c r="AF35" s="101"/>
      <c r="AG35" s="101"/>
      <c r="AH35" s="101"/>
      <c r="AI35" s="101"/>
      <c r="AJ35" s="101"/>
      <c r="AK35" s="101"/>
      <c r="AL35" s="101"/>
      <c r="AM35" s="101"/>
      <c r="AN35" s="101"/>
      <c r="AO35" s="101"/>
      <c r="AP35" s="101"/>
      <c r="AQ35" s="101"/>
      <c r="AR35" s="101"/>
      <c r="AS35" s="101"/>
      <c r="AT35" s="101"/>
      <c r="AU35" s="101"/>
      <c r="AV35" s="101"/>
      <c r="AW35" s="101"/>
      <c r="AX35" s="101"/>
      <c r="AY35" s="101"/>
      <c r="AZ35" s="101"/>
      <c r="BA35" s="101"/>
      <c r="BB35" s="101"/>
      <c r="BC35"/>
      <c r="BD35"/>
      <c r="BE35"/>
    </row>
    <row r="36" spans="1:57" ht="14.65" customHeight="1" x14ac:dyDescent="0.25">
      <c r="A36"/>
      <c r="B36" s="88"/>
      <c r="C36" s="88"/>
      <c r="D36" s="98"/>
      <c r="E36" s="97"/>
      <c r="F36"/>
      <c r="G36" s="88"/>
      <c r="H36" s="88"/>
      <c r="I36" s="98"/>
      <c r="J36" s="97"/>
      <c r="K36"/>
      <c r="L36" s="88"/>
      <c r="M36" s="88"/>
      <c r="N36" s="98"/>
      <c r="O36" s="97"/>
      <c r="P36"/>
      <c r="Q36" s="114"/>
      <c r="R36" s="114"/>
      <c r="S36" s="121"/>
      <c r="T36" s="120"/>
      <c r="U36" s="101"/>
      <c r="V36" s="88"/>
      <c r="W36" s="88"/>
      <c r="X36" s="98"/>
      <c r="Y36" s="97"/>
      <c r="Z36" s="97"/>
      <c r="AA36" s="88"/>
      <c r="AB36" s="88"/>
      <c r="AC36" s="98"/>
      <c r="AD36" s="97"/>
      <c r="AE36" s="101"/>
      <c r="AF36" s="101"/>
      <c r="AG36" s="101"/>
      <c r="AH36" s="101"/>
      <c r="AI36" s="101"/>
      <c r="AJ36" s="101"/>
      <c r="AK36" s="101"/>
      <c r="AL36" s="101"/>
      <c r="AM36" s="101"/>
      <c r="AN36" s="101"/>
      <c r="AO36" s="101"/>
      <c r="AP36" s="101"/>
      <c r="AQ36" s="101"/>
      <c r="AR36" s="101"/>
      <c r="AS36" s="101"/>
      <c r="AT36" s="101"/>
      <c r="AU36" s="101"/>
      <c r="AV36" s="101"/>
      <c r="AW36" s="101"/>
      <c r="AX36" s="101"/>
      <c r="AY36" s="101"/>
      <c r="AZ36" s="101"/>
      <c r="BA36" s="101"/>
      <c r="BB36" s="101"/>
      <c r="BC36"/>
      <c r="BD36"/>
      <c r="BE36"/>
    </row>
    <row r="37" spans="1:57" ht="20.25" customHeight="1" x14ac:dyDescent="0.25">
      <c r="A37"/>
      <c r="B37"/>
      <c r="C37"/>
      <c r="D37" s="102"/>
      <c r="E37" s="101"/>
      <c r="F37" s="101"/>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row>
    <row r="38" spans="1:57" ht="14.65" customHeight="1" x14ac:dyDescent="0.25">
      <c r="A38"/>
      <c r="B38"/>
      <c r="C38"/>
      <c r="D38" s="103"/>
      <c r="E38" s="104"/>
      <c r="F38" s="104"/>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row>
    <row r="39" spans="1:57" ht="31.9" customHeight="1" x14ac:dyDescent="0.25">
      <c r="B39" s="630" t="s">
        <v>10</v>
      </c>
      <c r="C39" s="630"/>
      <c r="D39" s="630"/>
      <c r="E39" s="630"/>
      <c r="F39" s="630"/>
      <c r="G39" s="630"/>
      <c r="H39" s="630"/>
      <c r="I39" s="630"/>
      <c r="J39" s="630"/>
      <c r="K39" s="630"/>
      <c r="L39" s="630"/>
      <c r="M39" s="630"/>
      <c r="N39" s="630"/>
    </row>
    <row r="40" spans="1:57" ht="14.65" customHeight="1" x14ac:dyDescent="0.25">
      <c r="D40" s="105"/>
      <c r="E40" s="106"/>
      <c r="F40" s="106"/>
    </row>
  </sheetData>
  <mergeCells count="51">
    <mergeCell ref="C1:I1"/>
    <mergeCell ref="B39:N39"/>
    <mergeCell ref="C27:D29"/>
    <mergeCell ref="C30:D30"/>
    <mergeCell ref="C32:D34"/>
    <mergeCell ref="M27:N29"/>
    <mergeCell ref="M30:N30"/>
    <mergeCell ref="M32:N34"/>
    <mergeCell ref="H32:I34"/>
    <mergeCell ref="C10:D10"/>
    <mergeCell ref="H10:I10"/>
    <mergeCell ref="L10:O10"/>
    <mergeCell ref="W19:X19"/>
    <mergeCell ref="C16:D16"/>
    <mergeCell ref="C18:D20"/>
    <mergeCell ref="M13:N15"/>
    <mergeCell ref="M16:N16"/>
    <mergeCell ref="M18:N20"/>
    <mergeCell ref="C13:D15"/>
    <mergeCell ref="V10:AD10"/>
    <mergeCell ref="V2:AD2"/>
    <mergeCell ref="V3:AD6"/>
    <mergeCell ref="V7:AD7"/>
    <mergeCell ref="W15:X18"/>
    <mergeCell ref="W33:X33"/>
    <mergeCell ref="H35:I35"/>
    <mergeCell ref="AA24:AD24"/>
    <mergeCell ref="AB29:AC32"/>
    <mergeCell ref="AB33:AC33"/>
    <mergeCell ref="R33:S33"/>
    <mergeCell ref="H24:I24"/>
    <mergeCell ref="L24:O24"/>
    <mergeCell ref="W29:X32"/>
    <mergeCell ref="Q10:T10"/>
    <mergeCell ref="H27:I29"/>
    <mergeCell ref="C24:D24"/>
    <mergeCell ref="Q24:T24"/>
    <mergeCell ref="R29:S32"/>
    <mergeCell ref="H13:I15"/>
    <mergeCell ref="H16:I16"/>
    <mergeCell ref="H18:I20"/>
    <mergeCell ref="H21:I21"/>
    <mergeCell ref="H30:I30"/>
    <mergeCell ref="R13:S15"/>
    <mergeCell ref="R16:S16"/>
    <mergeCell ref="R18:S20"/>
    <mergeCell ref="BF3:BF6"/>
    <mergeCell ref="L2:O2"/>
    <mergeCell ref="Q2:T2"/>
    <mergeCell ref="L3:O6"/>
    <mergeCell ref="Q3:T6"/>
  </mergeCells>
  <conditionalFormatting sqref="BF3:BF6">
    <cfRule type="cellIs" dxfId="8" priority="1" operator="equal">
      <formula>0</formula>
    </cfRule>
  </conditionalFormatting>
  <pageMargins left="0.7" right="0.7" top="0.75" bottom="0.75" header="0.3" footer="0.3"/>
  <pageSetup orientation="portrait"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7CF60-EFE7-4E91-97C7-4248CDA31EF4}">
  <dimension ref="A1:G16"/>
  <sheetViews>
    <sheetView showGridLines="0" zoomScale="130" zoomScaleNormal="130" workbookViewId="0">
      <selection activeCell="A16" sqref="A16:G16"/>
    </sheetView>
  </sheetViews>
  <sheetFormatPr defaultColWidth="8.7109375" defaultRowHeight="14.25" x14ac:dyDescent="0.2"/>
  <cols>
    <col min="1" max="1" width="29" style="7" customWidth="1"/>
    <col min="2" max="2" width="16" style="7" bestFit="1" customWidth="1"/>
    <col min="3" max="4" width="14.5703125" style="7" bestFit="1" customWidth="1"/>
    <col min="5" max="5" width="13.42578125" style="7" customWidth="1"/>
    <col min="6" max="6" width="14.5703125" style="7" bestFit="1" customWidth="1"/>
    <col min="7" max="7" width="17" style="7" customWidth="1"/>
    <col min="8" max="16384" width="8.7109375" style="7"/>
  </cols>
  <sheetData>
    <row r="1" spans="1:7" customFormat="1" ht="52.15" customHeight="1" thickBot="1" x14ac:dyDescent="0.3">
      <c r="A1" s="631" t="s">
        <v>35</v>
      </c>
      <c r="B1" s="632"/>
      <c r="C1" s="632"/>
      <c r="D1" s="632"/>
      <c r="E1" s="632"/>
      <c r="F1" s="632"/>
      <c r="G1" s="633"/>
    </row>
    <row r="2" spans="1:7" ht="49.15" customHeight="1" thickBot="1" x14ac:dyDescent="0.25">
      <c r="A2" s="277" t="s">
        <v>36</v>
      </c>
      <c r="B2" s="276" t="s">
        <v>37</v>
      </c>
      <c r="C2" s="276" t="s">
        <v>38</v>
      </c>
      <c r="D2" s="276" t="s">
        <v>39</v>
      </c>
      <c r="E2" s="276" t="s">
        <v>40</v>
      </c>
      <c r="F2" s="276" t="s">
        <v>41</v>
      </c>
      <c r="G2" s="576" t="s">
        <v>42</v>
      </c>
    </row>
    <row r="3" spans="1:7" ht="19.899999999999999" customHeight="1" x14ac:dyDescent="0.2">
      <c r="A3" s="69" t="s">
        <v>43</v>
      </c>
      <c r="B3" s="147">
        <f>'1 - Data Source Estimates'!E22</f>
        <v>5</v>
      </c>
      <c r="C3" s="147">
        <f>'1 - Data Source Estimates'!H22</f>
        <v>4.5</v>
      </c>
      <c r="D3" s="71">
        <f>'1 - Data Source Estimates'!N22</f>
        <v>30</v>
      </c>
      <c r="E3" s="148">
        <f>'1 - Data Source Estimates'!K22</f>
        <v>0.25</v>
      </c>
      <c r="F3" s="71">
        <f>'1 - Data Source Estimates'!N22</f>
        <v>30</v>
      </c>
      <c r="G3" s="157">
        <f t="shared" ref="G3:G12" si="0">SUM(B3:F3)</f>
        <v>69.75</v>
      </c>
    </row>
    <row r="4" spans="1:7" ht="19.899999999999999" customHeight="1" thickBot="1" x14ac:dyDescent="0.25">
      <c r="A4" s="70" t="s">
        <v>44</v>
      </c>
      <c r="B4" s="72">
        <f>'4. TAR 1.0 Calculations'!C126</f>
        <v>0.69189795024302414</v>
      </c>
      <c r="C4" s="72">
        <f>'4. TAR 1.0 Calculations'!D126</f>
        <v>0.17513666865526545</v>
      </c>
      <c r="D4" s="72">
        <f>'4. TAR 1.0 Calculations'!E126</f>
        <v>1.2509762046804676</v>
      </c>
      <c r="E4" s="72">
        <f>'4. TAR 1.0 Calculations'!F126</f>
        <v>3.8639462400000012E-2</v>
      </c>
      <c r="F4" s="72">
        <f>'4. TAR 1.0 Calculations'!G126</f>
        <v>0.21282912000000001</v>
      </c>
      <c r="G4" s="155">
        <f t="shared" si="0"/>
        <v>2.3694794059787569</v>
      </c>
    </row>
    <row r="5" spans="1:7" ht="21.75" customHeight="1" x14ac:dyDescent="0.2">
      <c r="A5" s="281" t="s">
        <v>45</v>
      </c>
      <c r="B5" s="284">
        <f>'4. TAR 1.0 Calculations'!C18</f>
        <v>750</v>
      </c>
      <c r="C5" s="284">
        <f>'4. TAR 1.0 Calculations'!D18</f>
        <v>1150</v>
      </c>
      <c r="D5" s="284">
        <f>'4. TAR 1.0 Calculations'!E18</f>
        <v>600</v>
      </c>
      <c r="E5" s="285">
        <f>'4. TAR 1.0 Calculations'!F18</f>
        <v>500</v>
      </c>
      <c r="F5" s="286">
        <f>'4. TAR 1.0 Calculations'!G18</f>
        <v>750</v>
      </c>
      <c r="G5" s="287">
        <f t="shared" si="0"/>
        <v>3750</v>
      </c>
    </row>
    <row r="6" spans="1:7" ht="21.75" customHeight="1" x14ac:dyDescent="0.2">
      <c r="A6" s="282" t="s">
        <v>46</v>
      </c>
      <c r="B6" s="288">
        <f>'4. TAR 1.0 Calculations'!C32</f>
        <v>450</v>
      </c>
      <c r="C6" s="288">
        <f>'4. TAR 1.0 Calculations'!D32</f>
        <v>1200</v>
      </c>
      <c r="D6" s="288">
        <f>'4. TAR 1.0 Calculations'!E32</f>
        <v>600</v>
      </c>
      <c r="E6" s="288">
        <f>'4. TAR 1.0 Calculations'!F32</f>
        <v>1800</v>
      </c>
      <c r="F6" s="288">
        <f>'4. TAR 1.0 Calculations'!G32</f>
        <v>600</v>
      </c>
      <c r="G6" s="289">
        <f t="shared" si="0"/>
        <v>4650</v>
      </c>
    </row>
    <row r="7" spans="1:7" ht="21.75" customHeight="1" x14ac:dyDescent="0.2">
      <c r="A7" s="282" t="s">
        <v>47</v>
      </c>
      <c r="B7" s="288">
        <f>'4. TAR 1.0 Calculations'!C50</f>
        <v>369.34399999999999</v>
      </c>
      <c r="C7" s="288">
        <f>'4. TAR 1.0 Calculations'!D50</f>
        <v>95.548949999999991</v>
      </c>
      <c r="D7" s="288">
        <f>'4. TAR 1.0 Calculations'!E50</f>
        <v>1104.3674999999998</v>
      </c>
      <c r="E7" s="288">
        <f>'4. TAR 1.0 Calculations'!F50</f>
        <v>17.608729600000004</v>
      </c>
      <c r="F7" s="288">
        <f>'4. TAR 1.0 Calculations'!G50</f>
        <v>139.45038</v>
      </c>
      <c r="G7" s="289">
        <f t="shared" si="0"/>
        <v>1726.3195595999998</v>
      </c>
    </row>
    <row r="8" spans="1:7" ht="21.75" customHeight="1" x14ac:dyDescent="0.2">
      <c r="A8" s="282" t="s">
        <v>48</v>
      </c>
      <c r="B8" s="288">
        <f>'4. TAR 1.0 Calculations'!C61</f>
        <v>827.32799999999997</v>
      </c>
      <c r="C8" s="288">
        <f>'4. TAR 1.0 Calculations'!D61</f>
        <v>514.14239999999995</v>
      </c>
      <c r="D8" s="288">
        <f>'4. TAR 1.0 Calculations'!E61</f>
        <v>1166.1599999999999</v>
      </c>
      <c r="E8" s="288">
        <f>'4. TAR 1.0 Calculations'!F61</f>
        <v>445.20837119999999</v>
      </c>
      <c r="F8" s="288">
        <f>'4. TAR 1.0 Calculations'!G61</f>
        <v>612.94655999999998</v>
      </c>
      <c r="G8" s="289">
        <f t="shared" si="0"/>
        <v>3565.7853311999997</v>
      </c>
    </row>
    <row r="9" spans="1:7" ht="21.75" customHeight="1" x14ac:dyDescent="0.2">
      <c r="A9" s="282" t="s">
        <v>49</v>
      </c>
      <c r="B9" s="288">
        <f>'4. TAR 1.0 Calculations'!C89</f>
        <v>14572.671935815471</v>
      </c>
      <c r="C9" s="288">
        <f>'4. TAR 1.0 Calculations'!D89</f>
        <v>2459.1383891688602</v>
      </c>
      <c r="D9" s="288">
        <f>'4. TAR 1.0 Calculations'!E89</f>
        <v>17565.274208349005</v>
      </c>
      <c r="E9" s="578"/>
      <c r="F9" s="578"/>
      <c r="G9" s="289">
        <f t="shared" si="0"/>
        <v>34597.084533333342</v>
      </c>
    </row>
    <row r="10" spans="1:7" ht="21.75" customHeight="1" x14ac:dyDescent="0.2">
      <c r="A10" s="282" t="s">
        <v>50</v>
      </c>
      <c r="B10" s="288">
        <f>'4. TAR 1.0 Calculations'!C122</f>
        <v>6137.5576517011696</v>
      </c>
      <c r="C10" s="288">
        <f>'4. TAR 1.0 Calculations'!D122</f>
        <v>1090.314953724572</v>
      </c>
      <c r="D10" s="288">
        <f>'4. TAR 1.0 Calculations'!E122</f>
        <v>7787.9639551755154</v>
      </c>
      <c r="E10" s="288">
        <f>'4. TAR 1.0 Calculations'!F122</f>
        <v>4614.1560490666679</v>
      </c>
      <c r="F10" s="288">
        <f>'4. TAR 1.0 Calculations'!G122</f>
        <v>20729.381120000002</v>
      </c>
      <c r="G10" s="577">
        <f t="shared" si="0"/>
        <v>40359.373729667925</v>
      </c>
    </row>
    <row r="11" spans="1:7" ht="21.75" customHeight="1" x14ac:dyDescent="0.2">
      <c r="A11" s="282" t="s">
        <v>51</v>
      </c>
      <c r="B11" s="288">
        <f>'4. TAR 1.0 Calculations'!C132</f>
        <v>282.84440644666063</v>
      </c>
      <c r="C11" s="288">
        <f>'4. TAR 1.0 Calculations'!D132</f>
        <v>183.62624038181096</v>
      </c>
      <c r="D11" s="288">
        <f>'4. TAR 1.0 Calculations'!E132</f>
        <v>390.18743129864976</v>
      </c>
      <c r="E11" s="288">
        <f>'4. TAR 1.0 Calculations'!F132</f>
        <v>157.41877678079999</v>
      </c>
      <c r="F11" s="288">
        <f>'4. TAR 1.0 Calculations'!G132</f>
        <v>190.86319104</v>
      </c>
      <c r="G11" s="289">
        <f t="shared" si="0"/>
        <v>1204.9400459479214</v>
      </c>
    </row>
    <row r="12" spans="1:7" ht="21" customHeight="1" thickBot="1" x14ac:dyDescent="0.25">
      <c r="A12" s="283" t="s">
        <v>52</v>
      </c>
      <c r="B12" s="290">
        <f>'4. TAR 1.0 Calculations'!C148</f>
        <v>918.80823799999996</v>
      </c>
      <c r="C12" s="290">
        <f>'4. TAR 1.0 Calculations'!D148</f>
        <v>918.80823799999996</v>
      </c>
      <c r="D12" s="290">
        <f>'4. TAR 1.0 Calculations'!E148</f>
        <v>918.80823799999996</v>
      </c>
      <c r="E12" s="290">
        <f>'4. TAR 1.0 Calculations'!F148</f>
        <v>918.80823799999996</v>
      </c>
      <c r="F12" s="290">
        <f>'4. TAR 1.0 Calculations'!G148</f>
        <v>918.80823799999996</v>
      </c>
      <c r="G12" s="291">
        <f t="shared" si="0"/>
        <v>4594.0411899999999</v>
      </c>
    </row>
    <row r="13" spans="1:7" ht="33" customHeight="1" thickTop="1" thickBot="1" x14ac:dyDescent="0.25">
      <c r="A13" s="278" t="s">
        <v>53</v>
      </c>
      <c r="B13" s="279">
        <f t="shared" ref="B13:G13" si="1">SUM(B5:B12)</f>
        <v>24308.554231963302</v>
      </c>
      <c r="C13" s="279">
        <f t="shared" si="1"/>
        <v>7611.5791712752425</v>
      </c>
      <c r="D13" s="279">
        <f t="shared" si="1"/>
        <v>30132.761332823175</v>
      </c>
      <c r="E13" s="279">
        <f>SUM(E5:E12)</f>
        <v>8453.2001646474673</v>
      </c>
      <c r="F13" s="279">
        <f t="shared" si="1"/>
        <v>23941.449489040002</v>
      </c>
      <c r="G13" s="280">
        <f t="shared" si="1"/>
        <v>94447.544389749193</v>
      </c>
    </row>
    <row r="16" spans="1:7" ht="27" customHeight="1" x14ac:dyDescent="0.2">
      <c r="A16" s="630" t="s">
        <v>648</v>
      </c>
      <c r="B16" s="630"/>
      <c r="C16" s="630"/>
      <c r="D16" s="630"/>
      <c r="E16" s="630"/>
      <c r="F16" s="630"/>
      <c r="G16" s="630"/>
    </row>
  </sheetData>
  <mergeCells count="2">
    <mergeCell ref="A1:G1"/>
    <mergeCell ref="A16:G16"/>
  </mergeCells>
  <conditionalFormatting sqref="A2:G2">
    <cfRule type="cellIs" dxfId="7" priority="1" operator="equal">
      <formula>"Highest"</formula>
    </cfRule>
    <cfRule type="cellIs" dxfId="6" priority="2" operator="equal">
      <formula>"High"</formula>
    </cfRule>
    <cfRule type="cellIs" dxfId="5" priority="3" operator="equal">
      <formula>"Medium"</formula>
    </cfRule>
    <cfRule type="cellIs" dxfId="4" priority="4" operator="equal">
      <formula>"Low"</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D918C-0AE7-405C-89CE-65102F943B18}">
  <dimension ref="A1:G29"/>
  <sheetViews>
    <sheetView showGridLines="0" zoomScale="85" zoomScaleNormal="85" workbookViewId="0">
      <selection activeCell="A29" sqref="A29:F29"/>
    </sheetView>
  </sheetViews>
  <sheetFormatPr defaultColWidth="8.7109375" defaultRowHeight="15" x14ac:dyDescent="0.25"/>
  <cols>
    <col min="1" max="1" width="47.42578125" customWidth="1"/>
    <col min="2" max="2" width="18" customWidth="1"/>
    <col min="3" max="3" width="17.140625" bestFit="1" customWidth="1"/>
    <col min="4" max="4" width="15.42578125" bestFit="1" customWidth="1"/>
    <col min="5" max="6" width="17.140625" bestFit="1" customWidth="1"/>
    <col min="7" max="7" width="16.28515625" customWidth="1"/>
  </cols>
  <sheetData>
    <row r="1" spans="1:6" ht="55.15" customHeight="1" x14ac:dyDescent="0.25">
      <c r="A1" s="634" t="s">
        <v>54</v>
      </c>
      <c r="B1" s="634"/>
      <c r="C1" s="634"/>
      <c r="D1" s="634"/>
      <c r="E1" s="634"/>
      <c r="F1" s="634"/>
    </row>
    <row r="2" spans="1:6" ht="43.9" customHeight="1" x14ac:dyDescent="0.3">
      <c r="A2" s="269"/>
      <c r="B2" s="302" t="s">
        <v>55</v>
      </c>
      <c r="C2" s="302" t="s">
        <v>56</v>
      </c>
      <c r="D2" s="302" t="s">
        <v>57</v>
      </c>
      <c r="E2" s="302" t="s">
        <v>58</v>
      </c>
      <c r="F2" s="302" t="s">
        <v>59</v>
      </c>
    </row>
    <row r="3" spans="1:6" ht="16.899999999999999" customHeight="1" x14ac:dyDescent="0.25">
      <c r="A3" s="270" t="s">
        <v>60</v>
      </c>
      <c r="B3" s="292">
        <f>'4A. LINEAR REVIEW Calculations'!C8</f>
        <v>0</v>
      </c>
      <c r="C3" s="293"/>
      <c r="D3" s="293"/>
      <c r="E3" s="293"/>
      <c r="F3" s="294"/>
    </row>
    <row r="4" spans="1:6" ht="16.899999999999999" customHeight="1" x14ac:dyDescent="0.25">
      <c r="A4" s="270" t="s">
        <v>61</v>
      </c>
      <c r="B4" s="292">
        <f>'4. TAR 1.0 Calculations'!C11</f>
        <v>750</v>
      </c>
      <c r="C4" s="292">
        <f>'4. TAR 1.0 Calculations'!D11</f>
        <v>1150</v>
      </c>
      <c r="D4" s="292">
        <f>'4. TAR 1.0 Calculations'!E11</f>
        <v>600</v>
      </c>
      <c r="E4" s="292">
        <f>'4. TAR 1.0 Calculations'!F11</f>
        <v>500</v>
      </c>
      <c r="F4" s="292">
        <f>'4. TAR 1.0 Calculations'!G11</f>
        <v>750</v>
      </c>
    </row>
    <row r="5" spans="1:6" ht="16.899999999999999" customHeight="1" x14ac:dyDescent="0.25">
      <c r="A5" s="270" t="s">
        <v>62</v>
      </c>
      <c r="B5" s="292">
        <f>'4A. LINEAR REVIEW Calculations'!C14</f>
        <v>0</v>
      </c>
      <c r="C5" s="293"/>
      <c r="D5" s="293"/>
      <c r="E5" s="293"/>
      <c r="F5" s="294"/>
    </row>
    <row r="6" spans="1:6" ht="16.899999999999999" customHeight="1" x14ac:dyDescent="0.25">
      <c r="A6" s="270" t="s">
        <v>63</v>
      </c>
      <c r="B6" s="292">
        <f>'4A. LINEAR REVIEW Calculations'!C17</f>
        <v>0</v>
      </c>
      <c r="C6" s="293"/>
      <c r="D6" s="293"/>
      <c r="E6" s="293"/>
      <c r="F6" s="294"/>
    </row>
    <row r="7" spans="1:6" ht="16.899999999999999" customHeight="1" x14ac:dyDescent="0.25">
      <c r="A7" s="271" t="s">
        <v>64</v>
      </c>
      <c r="B7" s="295">
        <f>'4. TAR 1.0 Calculations'!C18</f>
        <v>750</v>
      </c>
      <c r="C7" s="295">
        <f>'4. TAR 1.0 Calculations'!D18</f>
        <v>1150</v>
      </c>
      <c r="D7" s="295">
        <f>'4. TAR 1.0 Calculations'!E18</f>
        <v>600</v>
      </c>
      <c r="E7" s="295">
        <f>'4. TAR 1.0 Calculations'!F18</f>
        <v>500</v>
      </c>
      <c r="F7" s="295">
        <f>'4. TAR 1.0 Calculations'!G18</f>
        <v>750</v>
      </c>
    </row>
    <row r="8" spans="1:6" ht="16.899999999999999" customHeight="1" x14ac:dyDescent="0.25">
      <c r="A8" s="272" t="s">
        <v>65</v>
      </c>
      <c r="B8" s="296">
        <f>'4. TAR 1.0 Calculations'!C24</f>
        <v>5</v>
      </c>
      <c r="C8" s="296">
        <f>'4. TAR 1.0 Calculations'!D24</f>
        <v>4.5</v>
      </c>
      <c r="D8" s="296">
        <f>'4. TAR 1.0 Calculations'!E24</f>
        <v>30</v>
      </c>
      <c r="E8" s="296">
        <f>'4. TAR 1.0 Calculations'!F24</f>
        <v>0.25</v>
      </c>
      <c r="F8" s="296">
        <f>'4. TAR 1.0 Calculations'!G24</f>
        <v>8</v>
      </c>
    </row>
    <row r="9" spans="1:6" ht="16.899999999999999" customHeight="1" x14ac:dyDescent="0.25">
      <c r="A9" s="271" t="s">
        <v>66</v>
      </c>
      <c r="B9" s="297">
        <f>'4. TAR 1.0 Calculations'!C32</f>
        <v>450</v>
      </c>
      <c r="C9" s="297">
        <f>'4. TAR 1.0 Calculations'!D32</f>
        <v>1200</v>
      </c>
      <c r="D9" s="297">
        <f>'4. TAR 1.0 Calculations'!E32</f>
        <v>600</v>
      </c>
      <c r="E9" s="297">
        <f>'4. TAR 1.0 Calculations'!F32</f>
        <v>1800</v>
      </c>
      <c r="F9" s="297">
        <f>'4. TAR 1.0 Calculations'!G32</f>
        <v>600</v>
      </c>
    </row>
    <row r="10" spans="1:6" ht="16.899999999999999" customHeight="1" x14ac:dyDescent="0.25">
      <c r="A10" s="272" t="s">
        <v>67</v>
      </c>
      <c r="B10" s="292">
        <f>'4. TAR 1.0 Calculations'!C38</f>
        <v>200</v>
      </c>
      <c r="C10" s="292">
        <f>'4. TAR 1.0 Calculations'!D38</f>
        <v>59.062499999999993</v>
      </c>
      <c r="D10" s="292">
        <f>'4. TAR 1.0 Calculations'!E38</f>
        <v>843.75</v>
      </c>
      <c r="E10" s="292">
        <f>'4. TAR 1.0 Calculations'!F38</f>
        <v>6.160000000000001</v>
      </c>
      <c r="F10" s="292">
        <f>'4. TAR 1.0 Calculations'!G38</f>
        <v>69</v>
      </c>
    </row>
    <row r="11" spans="1:6" ht="16.899999999999999" customHeight="1" x14ac:dyDescent="0.25">
      <c r="A11" s="272" t="s">
        <v>68</v>
      </c>
      <c r="B11" s="292">
        <f>'4. TAR 1.0 Calculations'!C46</f>
        <v>100.79999999999998</v>
      </c>
      <c r="C11" s="292">
        <f>'4. TAR 1.0 Calculations'!D46</f>
        <v>19.136249999999993</v>
      </c>
      <c r="D11" s="292">
        <f>'4. TAR 1.0 Calculations'!E46</f>
        <v>136.68749999999994</v>
      </c>
      <c r="E11" s="292">
        <f>'4. TAR 1.0 Calculations'!F46</f>
        <v>5.3665920000000007</v>
      </c>
      <c r="F11" s="292">
        <f>'4. TAR 1.0 Calculations'!G46</f>
        <v>36.9495</v>
      </c>
    </row>
    <row r="12" spans="1:6" ht="16.899999999999999" customHeight="1" x14ac:dyDescent="0.25">
      <c r="A12" s="272" t="s">
        <v>69</v>
      </c>
      <c r="B12" s="292">
        <f>'4. TAR 1.0 Calculations'!C49</f>
        <v>68.543999999999997</v>
      </c>
      <c r="C12" s="292">
        <f>'4. TAR 1.0 Calculations'!D49</f>
        <v>17.350199999999994</v>
      </c>
      <c r="D12" s="292">
        <f>'4. TAR 1.0 Calculations'!E49</f>
        <v>123.92999999999996</v>
      </c>
      <c r="E12" s="292">
        <f>'4. TAR 1.0 Calculations'!F49</f>
        <v>6.0821376000000011</v>
      </c>
      <c r="F12" s="292">
        <f>'4. TAR 1.0 Calculations'!G49</f>
        <v>33.500880000000002</v>
      </c>
    </row>
    <row r="13" spans="1:6" ht="16.899999999999999" customHeight="1" x14ac:dyDescent="0.25">
      <c r="A13" s="271" t="s">
        <v>70</v>
      </c>
      <c r="B13" s="297">
        <f>'4. TAR 1.0 Calculations'!C50</f>
        <v>369.34399999999999</v>
      </c>
      <c r="C13" s="297">
        <f>'4. TAR 1.0 Calculations'!D50</f>
        <v>95.548949999999991</v>
      </c>
      <c r="D13" s="297">
        <f>'4. TAR 1.0 Calculations'!E50</f>
        <v>1104.3674999999998</v>
      </c>
      <c r="E13" s="297">
        <f>'4. TAR 1.0 Calculations'!F50</f>
        <v>17.608729600000004</v>
      </c>
      <c r="F13" s="297">
        <f>'4. TAR 1.0 Calculations'!G50</f>
        <v>139.45038</v>
      </c>
    </row>
    <row r="14" spans="1:6" ht="16.899999999999999" customHeight="1" x14ac:dyDescent="0.25">
      <c r="A14" s="272" t="s">
        <v>71</v>
      </c>
      <c r="B14" s="292">
        <f>'4. TAR 1.0 Calculations'!C56</f>
        <v>419.32799999999997</v>
      </c>
      <c r="C14" s="292">
        <f>'4. TAR 1.0 Calculations'!D56</f>
        <v>106.14239999999997</v>
      </c>
      <c r="D14" s="292">
        <f>'4. TAR 1.0 Calculations'!E56</f>
        <v>758.15999999999974</v>
      </c>
      <c r="E14" s="292">
        <f>'4. TAR 1.0 Calculations'!F56</f>
        <v>37.208371200000009</v>
      </c>
      <c r="F14" s="292">
        <f>'4. TAR 1.0 Calculations'!G56</f>
        <v>204.94656000000001</v>
      </c>
    </row>
    <row r="15" spans="1:6" ht="16.899999999999999" customHeight="1" x14ac:dyDescent="0.25">
      <c r="A15" s="272" t="s">
        <v>72</v>
      </c>
      <c r="B15" s="292">
        <f>'4. TAR 1.0 Calculations'!C59</f>
        <v>0</v>
      </c>
      <c r="C15" s="292">
        <f>'4. TAR 1.0 Calculations'!D59</f>
        <v>0</v>
      </c>
      <c r="D15" s="292">
        <f>'4. TAR 1.0 Calculations'!E59</f>
        <v>0</v>
      </c>
      <c r="E15" s="292">
        <f>'4. TAR 1.0 Calculations'!F59</f>
        <v>0</v>
      </c>
      <c r="F15" s="292">
        <f>'4. TAR 1.0 Calculations'!G59</f>
        <v>0</v>
      </c>
    </row>
    <row r="16" spans="1:6" ht="16.899999999999999" customHeight="1" x14ac:dyDescent="0.25">
      <c r="A16" s="271" t="s">
        <v>73</v>
      </c>
      <c r="B16" s="297">
        <f>'4. TAR 1.0 Calculations'!C61</f>
        <v>827.32799999999997</v>
      </c>
      <c r="C16" s="297">
        <f>'4. TAR 1.0 Calculations'!D61</f>
        <v>514.14239999999995</v>
      </c>
      <c r="D16" s="297">
        <f>'4. TAR 1.0 Calculations'!E61</f>
        <v>1166.1599999999999</v>
      </c>
      <c r="E16" s="297">
        <f>'4. TAR 1.0 Calculations'!F61</f>
        <v>445.20837119999999</v>
      </c>
      <c r="F16" s="297">
        <f>'4. TAR 1.0 Calculations'!G61</f>
        <v>612.94655999999998</v>
      </c>
    </row>
    <row r="17" spans="1:7" ht="16.899999999999999" customHeight="1" x14ac:dyDescent="0.25">
      <c r="A17" s="579" t="s">
        <v>74</v>
      </c>
      <c r="B17" s="580">
        <f>'4. TAR 1.0 Calculations'!C89</f>
        <v>14572.671935815471</v>
      </c>
      <c r="C17" s="582">
        <f>'4. TAR 1.0 Calculations'!D89</f>
        <v>2459.1383891688602</v>
      </c>
      <c r="D17" s="582">
        <f>'4. TAR 1.0 Calculations'!E89</f>
        <v>17565.274208349005</v>
      </c>
      <c r="E17" s="581"/>
      <c r="F17" s="581"/>
    </row>
    <row r="18" spans="1:7" ht="16.899999999999999" customHeight="1" x14ac:dyDescent="0.25">
      <c r="A18" s="273" t="s">
        <v>75</v>
      </c>
      <c r="B18" s="292">
        <f>'4. TAR 1.0 Calculations'!C103</f>
        <v>326.59199999999998</v>
      </c>
      <c r="C18" s="292">
        <f>'4. TAR 1.0 Calculations'!D103</f>
        <v>68.890499999999975</v>
      </c>
      <c r="D18" s="292">
        <f>'4. TAR 1.0 Calculations'!E103</f>
        <v>492.07499999999993</v>
      </c>
      <c r="E18" s="292">
        <f>'4. TAR 1.0 Calculations'!F103</f>
        <v>1073.3184000000001</v>
      </c>
      <c r="F18" s="292">
        <f>'4. TAR 1.0 Calculations'!G103</f>
        <v>4729.5360000000001</v>
      </c>
    </row>
    <row r="19" spans="1:7" ht="16.899999999999999" customHeight="1" x14ac:dyDescent="0.25">
      <c r="A19" s="272" t="s">
        <v>76</v>
      </c>
      <c r="B19" s="292">
        <f>'4. TAR 1.0 Calculations'!C109</f>
        <v>967.67999999999984</v>
      </c>
      <c r="C19" s="292">
        <f>'4. TAR 1.0 Calculations'!D109</f>
        <v>204.11999999999995</v>
      </c>
      <c r="D19" s="292">
        <f>'4. TAR 1.0 Calculations'!E109</f>
        <v>1457.9999999999998</v>
      </c>
      <c r="E19" s="292">
        <f>'4. TAR 1.0 Calculations'!F109</f>
        <v>3180.2026666666679</v>
      </c>
      <c r="F19" s="292">
        <f>'4. TAR 1.0 Calculations'!G109</f>
        <v>14013.44</v>
      </c>
    </row>
    <row r="20" spans="1:7" ht="16.899999999999999" customHeight="1" x14ac:dyDescent="0.25">
      <c r="A20" s="272" t="s">
        <v>77</v>
      </c>
      <c r="B20" s="292">
        <f>'4. TAR 1.0 Calculations'!C116</f>
        <v>3459.489751215121</v>
      </c>
      <c r="C20" s="292">
        <f>'4. TAR 1.0 Calculations'!D116</f>
        <v>583.78889551755151</v>
      </c>
      <c r="D20" s="292">
        <f>'4. TAR 1.0 Calculations'!E116</f>
        <v>4169.9206822682254</v>
      </c>
      <c r="E20" s="292">
        <f>'4. TAR 1.0 Calculations'!F116</f>
        <v>257.59641600000009</v>
      </c>
      <c r="F20" s="292">
        <f>'4. TAR 1.0 Calculations'!G116</f>
        <v>1418.8608000000004</v>
      </c>
    </row>
    <row r="21" spans="1:7" ht="16.899999999999999" customHeight="1" x14ac:dyDescent="0.25">
      <c r="A21" s="272" t="s">
        <v>78</v>
      </c>
      <c r="B21" s="292">
        <f>'4. TAR 1.0 Calculations'!C121</f>
        <v>1383.7959004860486</v>
      </c>
      <c r="C21" s="292">
        <f>'4. TAR 1.0 Calculations'!D121</f>
        <v>233.51555820702063</v>
      </c>
      <c r="D21" s="292">
        <f>'4. TAR 1.0 Calculations'!E121</f>
        <v>1667.9682729072904</v>
      </c>
      <c r="E21" s="292">
        <f>'4. TAR 1.0 Calculations'!F121</f>
        <v>103.03856640000005</v>
      </c>
      <c r="F21" s="292">
        <f>'4. TAR 1.0 Calculations'!G121</f>
        <v>567.5443200000002</v>
      </c>
    </row>
    <row r="22" spans="1:7" ht="16.899999999999999" customHeight="1" x14ac:dyDescent="0.25">
      <c r="A22" s="271" t="s">
        <v>79</v>
      </c>
      <c r="B22" s="297">
        <f>'4. TAR 1.0 Calculations'!C122</f>
        <v>6137.5576517011696</v>
      </c>
      <c r="C22" s="297">
        <f>'4. TAR 1.0 Calculations'!D122</f>
        <v>1090.314953724572</v>
      </c>
      <c r="D22" s="297">
        <f>'4. TAR 1.0 Calculations'!E122</f>
        <v>7787.9639551755154</v>
      </c>
      <c r="E22" s="297">
        <f>'4. TAR 1.0 Calculations'!F122</f>
        <v>4614.1560490666679</v>
      </c>
      <c r="F22" s="297">
        <f>'4. TAR 1.0 Calculations'!G122</f>
        <v>20729.381120000002</v>
      </c>
    </row>
    <row r="23" spans="1:7" ht="16.899999999999999" customHeight="1" x14ac:dyDescent="0.25">
      <c r="A23" s="272" t="s">
        <v>80</v>
      </c>
      <c r="B23" s="292">
        <f>'4. TAR 1.0 Calculations'!C128</f>
        <v>132.84440644666063</v>
      </c>
      <c r="C23" s="292">
        <f>'4. TAR 1.0 Calculations'!D128</f>
        <v>33.626240381810966</v>
      </c>
      <c r="D23" s="292">
        <f>'4. TAR 1.0 Calculations'!E128</f>
        <v>240.18743129864976</v>
      </c>
      <c r="E23" s="292">
        <f>'4. TAR 1.0 Calculations'!F128</f>
        <v>7.4187767808000018</v>
      </c>
      <c r="F23" s="292">
        <f>'4. TAR 1.0 Calculations'!G128</f>
        <v>40.863191040000004</v>
      </c>
    </row>
    <row r="24" spans="1:7" ht="16.899999999999999" customHeight="1" x14ac:dyDescent="0.25">
      <c r="A24" s="272" t="s">
        <v>81</v>
      </c>
      <c r="B24" s="292">
        <f>'4. TAR 1.0 Calculations'!C131</f>
        <v>150</v>
      </c>
      <c r="C24" s="292">
        <f>'4. TAR 1.0 Calculations'!D131</f>
        <v>150</v>
      </c>
      <c r="D24" s="292">
        <f>'4. TAR 1.0 Calculations'!E131</f>
        <v>150</v>
      </c>
      <c r="E24" s="292">
        <f>'4. TAR 1.0 Calculations'!F131</f>
        <v>150</v>
      </c>
      <c r="F24" s="292">
        <f>'4. TAR 1.0 Calculations'!G131</f>
        <v>150</v>
      </c>
    </row>
    <row r="25" spans="1:7" ht="16.899999999999999" customHeight="1" x14ac:dyDescent="0.25">
      <c r="A25" s="271" t="s">
        <v>82</v>
      </c>
      <c r="B25" s="297">
        <f>'4. TAR 1.0 Calculations'!C132</f>
        <v>282.84440644666063</v>
      </c>
      <c r="C25" s="297">
        <f>'4. TAR 1.0 Calculations'!D132</f>
        <v>183.62624038181096</v>
      </c>
      <c r="D25" s="297">
        <f>'4. TAR 1.0 Calculations'!E132</f>
        <v>390.18743129864976</v>
      </c>
      <c r="E25" s="297">
        <f>'4. TAR 1.0 Calculations'!F132</f>
        <v>157.41877678079999</v>
      </c>
      <c r="F25" s="297">
        <f>'4. TAR 1.0 Calculations'!G132</f>
        <v>190.86319104</v>
      </c>
    </row>
    <row r="26" spans="1:7" ht="16.899999999999999" customHeight="1" thickBot="1" x14ac:dyDescent="0.3">
      <c r="A26" s="274" t="s">
        <v>83</v>
      </c>
      <c r="B26" s="298">
        <f>'4. TAR 1.0 Calculations'!C148</f>
        <v>918.80823799999996</v>
      </c>
      <c r="C26" s="298">
        <f>'4. TAR 1.0 Calculations'!D148</f>
        <v>918.80823799999996</v>
      </c>
      <c r="D26" s="298">
        <f>'4. TAR 1.0 Calculations'!E148</f>
        <v>918.80823799999996</v>
      </c>
      <c r="E26" s="298">
        <f>'4. TAR 1.0 Calculations'!F148</f>
        <v>918.80823799999996</v>
      </c>
      <c r="F26" s="298">
        <f>'4. TAR 1.0 Calculations'!G148</f>
        <v>918.80823799999996</v>
      </c>
    </row>
    <row r="27" spans="1:7" ht="33" customHeight="1" thickBot="1" x14ac:dyDescent="0.3">
      <c r="A27" s="299" t="s">
        <v>84</v>
      </c>
      <c r="B27" s="300">
        <f>B26+B25+B22+B17+B16+B13+B9+B7</f>
        <v>24308.554231963306</v>
      </c>
      <c r="C27" s="300">
        <f t="shared" ref="C27:F27" si="0">C26+C25+C22+C17+C16+C13+C9+C7</f>
        <v>7611.5791712752434</v>
      </c>
      <c r="D27" s="300">
        <f t="shared" si="0"/>
        <v>30132.761332823171</v>
      </c>
      <c r="E27" s="300">
        <f t="shared" si="0"/>
        <v>8453.2001646474673</v>
      </c>
      <c r="F27" s="300">
        <f t="shared" si="0"/>
        <v>23941.449489040002</v>
      </c>
    </row>
    <row r="29" spans="1:7" ht="31.15" customHeight="1" x14ac:dyDescent="0.25">
      <c r="A29" s="630" t="s">
        <v>649</v>
      </c>
      <c r="B29" s="630"/>
      <c r="C29" s="630"/>
      <c r="D29" s="630"/>
      <c r="E29" s="630"/>
      <c r="F29" s="630"/>
      <c r="G29" s="301"/>
    </row>
  </sheetData>
  <mergeCells count="2">
    <mergeCell ref="A1:F1"/>
    <mergeCell ref="A29:F29"/>
  </mergeCells>
  <conditionalFormatting sqref="B2:F2">
    <cfRule type="cellIs" dxfId="3" priority="1" operator="equal">
      <formula>"Highest"</formula>
    </cfRule>
    <cfRule type="cellIs" dxfId="2" priority="2" operator="equal">
      <formula>"High"</formula>
    </cfRule>
    <cfRule type="cellIs" dxfId="1" priority="3" operator="equal">
      <formula>"Medium"</formula>
    </cfRule>
    <cfRule type="cellIs" dxfId="0" priority="4" operator="equal">
      <formula>"Low"</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B1C75-E13B-49A9-B28C-9AC1496ADB60}">
  <dimension ref="A1:E28"/>
  <sheetViews>
    <sheetView topLeftCell="A18" workbookViewId="0">
      <selection activeCell="A28" sqref="A28:D28"/>
    </sheetView>
  </sheetViews>
  <sheetFormatPr defaultColWidth="8.7109375" defaultRowHeight="15" x14ac:dyDescent="0.25"/>
  <cols>
    <col min="1" max="1" width="18.7109375" style="11" bestFit="1" customWidth="1"/>
    <col min="2" max="2" width="47.7109375" customWidth="1"/>
    <col min="3" max="3" width="18.7109375" bestFit="1" customWidth="1"/>
    <col min="4" max="4" width="100.28515625" customWidth="1"/>
    <col min="5" max="5" width="40.42578125" customWidth="1"/>
  </cols>
  <sheetData>
    <row r="1" spans="1:5" ht="52.9" customHeight="1" x14ac:dyDescent="0.25">
      <c r="A1" s="635" t="s">
        <v>85</v>
      </c>
      <c r="B1" s="636"/>
      <c r="C1" s="636"/>
      <c r="D1" s="637"/>
    </row>
    <row r="2" spans="1:5" ht="18" x14ac:dyDescent="0.25">
      <c r="A2" s="608" t="s">
        <v>86</v>
      </c>
      <c r="B2" s="609" t="s">
        <v>87</v>
      </c>
      <c r="C2" s="610" t="s">
        <v>88</v>
      </c>
      <c r="D2" s="610" t="s">
        <v>89</v>
      </c>
    </row>
    <row r="3" spans="1:5" s="43" customFormat="1" ht="14.25" x14ac:dyDescent="0.25">
      <c r="A3" s="638" t="s">
        <v>45</v>
      </c>
      <c r="B3" s="10" t="s">
        <v>90</v>
      </c>
      <c r="C3" s="33">
        <v>500</v>
      </c>
      <c r="D3" s="34" t="s">
        <v>91</v>
      </c>
    </row>
    <row r="4" spans="1:5" s="43" customFormat="1" ht="86.25" thickBot="1" x14ac:dyDescent="0.3">
      <c r="A4" s="639"/>
      <c r="B4" s="10" t="s">
        <v>92</v>
      </c>
      <c r="C4" s="35" t="s">
        <v>93</v>
      </c>
      <c r="D4" s="34" t="s">
        <v>94</v>
      </c>
    </row>
    <row r="5" spans="1:5" s="43" customFormat="1" thickBot="1" x14ac:dyDescent="0.3">
      <c r="A5" s="640"/>
      <c r="B5" s="10" t="s">
        <v>95</v>
      </c>
      <c r="C5" s="34">
        <v>250</v>
      </c>
      <c r="D5" s="34" t="s">
        <v>96</v>
      </c>
    </row>
    <row r="6" spans="1:5" s="43" customFormat="1" ht="29.25" thickBot="1" x14ac:dyDescent="0.3">
      <c r="A6" s="31" t="s">
        <v>46</v>
      </c>
      <c r="B6" s="36" t="s">
        <v>97</v>
      </c>
      <c r="C6" s="37">
        <v>300</v>
      </c>
      <c r="D6" s="38" t="s">
        <v>98</v>
      </c>
      <c r="E6" s="43">
        <f>750+1150+500+750+600</f>
        <v>3750</v>
      </c>
    </row>
    <row r="7" spans="1:5" s="43" customFormat="1" ht="43.5" thickBot="1" x14ac:dyDescent="0.3">
      <c r="A7" s="638" t="s">
        <v>47</v>
      </c>
      <c r="B7" s="10" t="s">
        <v>99</v>
      </c>
      <c r="C7" s="33">
        <v>25</v>
      </c>
      <c r="D7" s="12" t="s">
        <v>100</v>
      </c>
    </row>
    <row r="8" spans="1:5" s="43" customFormat="1" ht="29.25" thickBot="1" x14ac:dyDescent="0.3">
      <c r="A8" s="639"/>
      <c r="B8" s="10" t="s">
        <v>101</v>
      </c>
      <c r="C8" s="39">
        <v>51</v>
      </c>
      <c r="D8" s="40" t="s">
        <v>102</v>
      </c>
    </row>
    <row r="9" spans="1:5" s="43" customFormat="1" ht="29.25" thickBot="1" x14ac:dyDescent="0.3">
      <c r="A9" s="640"/>
      <c r="B9" s="10" t="s">
        <v>103</v>
      </c>
      <c r="C9" s="33">
        <v>45</v>
      </c>
      <c r="D9" s="12" t="s">
        <v>104</v>
      </c>
    </row>
    <row r="10" spans="1:5" s="43" customFormat="1" ht="29.25" thickBot="1" x14ac:dyDescent="0.3">
      <c r="A10" s="644" t="s">
        <v>48</v>
      </c>
      <c r="B10" s="32" t="s">
        <v>105</v>
      </c>
      <c r="C10" s="37">
        <v>13</v>
      </c>
      <c r="D10" s="38" t="s">
        <v>106</v>
      </c>
    </row>
    <row r="11" spans="1:5" s="43" customFormat="1" ht="29.25" thickBot="1" x14ac:dyDescent="0.3">
      <c r="A11" s="645"/>
      <c r="B11" s="32" t="s">
        <v>107</v>
      </c>
      <c r="C11" s="37">
        <v>85</v>
      </c>
      <c r="D11" s="38" t="s">
        <v>108</v>
      </c>
    </row>
    <row r="12" spans="1:5" s="43" customFormat="1" thickBot="1" x14ac:dyDescent="0.25">
      <c r="A12" s="652" t="s">
        <v>109</v>
      </c>
      <c r="B12" s="589" t="s">
        <v>110</v>
      </c>
      <c r="C12" s="590">
        <v>0.02</v>
      </c>
      <c r="D12" s="41" t="s">
        <v>111</v>
      </c>
    </row>
    <row r="13" spans="1:5" s="43" customFormat="1" thickBot="1" x14ac:dyDescent="0.25">
      <c r="A13" s="653"/>
      <c r="B13" s="591" t="s">
        <v>112</v>
      </c>
      <c r="C13" s="590">
        <v>10</v>
      </c>
      <c r="D13" s="41" t="s">
        <v>113</v>
      </c>
    </row>
    <row r="14" spans="1:5" s="43" customFormat="1" thickBot="1" x14ac:dyDescent="0.25">
      <c r="A14" s="653"/>
      <c r="B14" s="591" t="s">
        <v>114</v>
      </c>
      <c r="C14" s="590">
        <v>300</v>
      </c>
      <c r="D14" s="41" t="s">
        <v>115</v>
      </c>
    </row>
    <row r="15" spans="1:5" s="43" customFormat="1" thickBot="1" x14ac:dyDescent="0.25">
      <c r="A15" s="653"/>
      <c r="B15" s="592" t="s">
        <v>116</v>
      </c>
      <c r="C15" s="590">
        <v>300</v>
      </c>
      <c r="D15" s="41" t="s">
        <v>117</v>
      </c>
    </row>
    <row r="16" spans="1:5" s="43" customFormat="1" ht="29.25" thickBot="1" x14ac:dyDescent="0.3">
      <c r="A16" s="649" t="s">
        <v>50</v>
      </c>
      <c r="B16" s="583" t="s">
        <v>118</v>
      </c>
      <c r="C16" s="584">
        <v>45</v>
      </c>
      <c r="D16" s="38" t="s">
        <v>119</v>
      </c>
    </row>
    <row r="17" spans="1:4" s="43" customFormat="1" ht="29.25" thickBot="1" x14ac:dyDescent="0.3">
      <c r="A17" s="650"/>
      <c r="B17" s="583" t="s">
        <v>120</v>
      </c>
      <c r="C17" s="584">
        <v>300</v>
      </c>
      <c r="D17" s="38" t="s">
        <v>121</v>
      </c>
    </row>
    <row r="18" spans="1:4" s="43" customFormat="1" thickBot="1" x14ac:dyDescent="0.3">
      <c r="A18" s="650"/>
      <c r="B18" s="583" t="s">
        <v>122</v>
      </c>
      <c r="C18" s="584">
        <v>300</v>
      </c>
      <c r="D18" s="585" t="s">
        <v>123</v>
      </c>
    </row>
    <row r="19" spans="1:4" s="43" customFormat="1" ht="29.25" thickBot="1" x14ac:dyDescent="0.3">
      <c r="A19" s="651"/>
      <c r="B19" s="586" t="s">
        <v>124</v>
      </c>
      <c r="C19" s="584">
        <v>300</v>
      </c>
      <c r="D19" s="38" t="s">
        <v>125</v>
      </c>
    </row>
    <row r="20" spans="1:4" s="43" customFormat="1" ht="29.25" thickBot="1" x14ac:dyDescent="0.3">
      <c r="A20" s="638" t="s">
        <v>51</v>
      </c>
      <c r="B20" s="42" t="s">
        <v>126</v>
      </c>
      <c r="C20" s="34">
        <v>192</v>
      </c>
      <c r="D20" s="41" t="s">
        <v>127</v>
      </c>
    </row>
    <row r="21" spans="1:4" s="43" customFormat="1" ht="29.25" thickBot="1" x14ac:dyDescent="0.3">
      <c r="A21" s="640"/>
      <c r="B21" s="42" t="s">
        <v>128</v>
      </c>
      <c r="C21" s="34">
        <v>150</v>
      </c>
      <c r="D21" s="41" t="s">
        <v>129</v>
      </c>
    </row>
    <row r="22" spans="1:4" s="43" customFormat="1" ht="43.5" thickBot="1" x14ac:dyDescent="0.3">
      <c r="A22" s="587" t="s">
        <v>130</v>
      </c>
      <c r="B22" s="586" t="s">
        <v>131</v>
      </c>
      <c r="C22" s="588"/>
      <c r="D22" s="38" t="s">
        <v>132</v>
      </c>
    </row>
    <row r="23" spans="1:4" s="43" customFormat="1" ht="29.25" thickBot="1" x14ac:dyDescent="0.3">
      <c r="A23" s="646" t="s">
        <v>133</v>
      </c>
      <c r="B23" s="42" t="s">
        <v>134</v>
      </c>
      <c r="C23" s="34">
        <v>125</v>
      </c>
      <c r="D23" s="41" t="s">
        <v>135</v>
      </c>
    </row>
    <row r="24" spans="1:4" s="43" customFormat="1" thickBot="1" x14ac:dyDescent="0.3">
      <c r="A24" s="647"/>
      <c r="B24" s="42" t="s">
        <v>136</v>
      </c>
      <c r="C24" s="34">
        <v>180</v>
      </c>
      <c r="D24" s="41" t="s">
        <v>137</v>
      </c>
    </row>
    <row r="25" spans="1:4" s="43" customFormat="1" thickBot="1" x14ac:dyDescent="0.3">
      <c r="A25" s="648"/>
      <c r="B25" s="42" t="s">
        <v>138</v>
      </c>
      <c r="C25" s="34">
        <v>250</v>
      </c>
      <c r="D25" s="41" t="s">
        <v>139</v>
      </c>
    </row>
    <row r="26" spans="1:4" ht="57.75" customHeight="1" thickBot="1" x14ac:dyDescent="0.3">
      <c r="A26" s="641" t="s">
        <v>140</v>
      </c>
      <c r="B26" s="642"/>
      <c r="C26" s="642"/>
      <c r="D26" s="643"/>
    </row>
    <row r="28" spans="1:4" ht="43.9" customHeight="1" x14ac:dyDescent="0.25">
      <c r="A28" s="630" t="s">
        <v>649</v>
      </c>
      <c r="B28" s="630"/>
      <c r="C28" s="630"/>
      <c r="D28" s="630"/>
    </row>
  </sheetData>
  <mergeCells count="10">
    <mergeCell ref="A28:D28"/>
    <mergeCell ref="A1:D1"/>
    <mergeCell ref="A3:A5"/>
    <mergeCell ref="A7:A9"/>
    <mergeCell ref="A26:D26"/>
    <mergeCell ref="A10:A11"/>
    <mergeCell ref="A23:A25"/>
    <mergeCell ref="A16:A19"/>
    <mergeCell ref="A20:A21"/>
    <mergeCell ref="A12:A1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D05DB-D850-4C92-8EF6-85355706D690}">
  <dimension ref="A1:C24"/>
  <sheetViews>
    <sheetView topLeftCell="A16" workbookViewId="0">
      <selection activeCell="A24" sqref="A24:C24"/>
    </sheetView>
  </sheetViews>
  <sheetFormatPr defaultColWidth="8.85546875" defaultRowHeight="14.25" x14ac:dyDescent="0.2"/>
  <cols>
    <col min="1" max="1" width="62.140625" style="7" customWidth="1"/>
    <col min="2" max="2" width="10.140625" style="7" bestFit="1" customWidth="1"/>
    <col min="3" max="3" width="73.42578125" style="7" customWidth="1"/>
    <col min="4" max="16384" width="8.85546875" style="7"/>
  </cols>
  <sheetData>
    <row r="1" spans="1:3" ht="49.15" customHeight="1" x14ac:dyDescent="0.2">
      <c r="A1" s="654" t="s">
        <v>141</v>
      </c>
      <c r="B1" s="655"/>
      <c r="C1" s="656"/>
    </row>
    <row r="2" spans="1:3" ht="22.9" customHeight="1" x14ac:dyDescent="0.2">
      <c r="A2" s="593" t="s">
        <v>142</v>
      </c>
      <c r="B2" s="594" t="s">
        <v>143</v>
      </c>
      <c r="C2" s="595" t="s">
        <v>89</v>
      </c>
    </row>
    <row r="3" spans="1:3" ht="42.75" x14ac:dyDescent="0.2">
      <c r="A3" s="596" t="s">
        <v>144</v>
      </c>
      <c r="B3" s="472"/>
      <c r="C3" s="597" t="s">
        <v>145</v>
      </c>
    </row>
    <row r="4" spans="1:3" ht="28.5" x14ac:dyDescent="0.2">
      <c r="A4" s="596" t="s">
        <v>146</v>
      </c>
      <c r="B4" s="473">
        <v>0.05</v>
      </c>
      <c r="C4" s="597" t="s">
        <v>147</v>
      </c>
    </row>
    <row r="5" spans="1:3" x14ac:dyDescent="0.2">
      <c r="A5" s="596" t="s">
        <v>148</v>
      </c>
      <c r="B5" s="472">
        <v>15</v>
      </c>
      <c r="C5" s="598" t="s">
        <v>149</v>
      </c>
    </row>
    <row r="6" spans="1:3" ht="71.25" x14ac:dyDescent="0.2">
      <c r="A6" s="599" t="s">
        <v>150</v>
      </c>
      <c r="B6" s="476">
        <v>0.4</v>
      </c>
      <c r="C6" s="600" t="s">
        <v>151</v>
      </c>
    </row>
    <row r="7" spans="1:3" ht="42.75" x14ac:dyDescent="0.2">
      <c r="A7" s="599" t="s">
        <v>152</v>
      </c>
      <c r="B7" s="474">
        <v>0.75</v>
      </c>
      <c r="C7" s="601" t="s">
        <v>153</v>
      </c>
    </row>
    <row r="8" spans="1:3" ht="42.75" x14ac:dyDescent="0.2">
      <c r="A8" s="599" t="s">
        <v>154</v>
      </c>
      <c r="B8" s="477">
        <v>0.66659999999999997</v>
      </c>
      <c r="C8" s="601" t="s">
        <v>155</v>
      </c>
    </row>
    <row r="9" spans="1:3" ht="84" customHeight="1" x14ac:dyDescent="0.2">
      <c r="A9" s="599" t="s">
        <v>156</v>
      </c>
      <c r="B9" s="528">
        <v>384</v>
      </c>
      <c r="C9" s="602" t="s">
        <v>157</v>
      </c>
    </row>
    <row r="10" spans="1:3" ht="71.25" x14ac:dyDescent="0.2">
      <c r="A10" s="603" t="s">
        <v>158</v>
      </c>
      <c r="B10" s="479">
        <v>3000</v>
      </c>
      <c r="C10" s="601" t="s">
        <v>159</v>
      </c>
    </row>
    <row r="11" spans="1:3" ht="71.25" x14ac:dyDescent="0.2">
      <c r="A11" s="599" t="s">
        <v>160</v>
      </c>
      <c r="B11" s="475">
        <v>500</v>
      </c>
      <c r="C11" s="601" t="s">
        <v>161</v>
      </c>
    </row>
    <row r="12" spans="1:3" ht="42.75" x14ac:dyDescent="0.2">
      <c r="A12" s="599" t="s">
        <v>116</v>
      </c>
      <c r="B12" s="480">
        <v>300</v>
      </c>
      <c r="C12" s="604" t="s">
        <v>162</v>
      </c>
    </row>
    <row r="13" spans="1:3" ht="28.5" x14ac:dyDescent="0.2">
      <c r="A13" s="599" t="s">
        <v>163</v>
      </c>
      <c r="B13" s="478">
        <v>45</v>
      </c>
      <c r="C13" s="604" t="s">
        <v>164</v>
      </c>
    </row>
    <row r="14" spans="1:3" x14ac:dyDescent="0.2">
      <c r="A14" s="596"/>
      <c r="B14" s="478"/>
      <c r="C14" s="598"/>
    </row>
    <row r="15" spans="1:3" ht="42.75" x14ac:dyDescent="0.2">
      <c r="A15" s="599" t="s">
        <v>165</v>
      </c>
      <c r="B15" s="478">
        <v>1.3</v>
      </c>
      <c r="C15" s="605" t="s">
        <v>166</v>
      </c>
    </row>
    <row r="16" spans="1:3" x14ac:dyDescent="0.2">
      <c r="A16" s="596"/>
      <c r="B16" s="472"/>
      <c r="C16" s="598"/>
    </row>
    <row r="17" spans="1:3" x14ac:dyDescent="0.2">
      <c r="A17" s="599" t="s">
        <v>167</v>
      </c>
      <c r="B17" s="473">
        <v>0.1</v>
      </c>
      <c r="C17" s="601" t="s">
        <v>168</v>
      </c>
    </row>
    <row r="18" spans="1:3" x14ac:dyDescent="0.2">
      <c r="A18" s="596"/>
      <c r="B18" s="472"/>
      <c r="C18" s="598"/>
    </row>
    <row r="19" spans="1:3" ht="42.75" x14ac:dyDescent="0.2">
      <c r="A19" s="596" t="s">
        <v>169</v>
      </c>
      <c r="B19" s="473">
        <v>0.9</v>
      </c>
      <c r="C19" s="597" t="s">
        <v>170</v>
      </c>
    </row>
    <row r="20" spans="1:3" x14ac:dyDescent="0.2">
      <c r="A20" s="606"/>
      <c r="B20" s="454"/>
      <c r="C20" s="607"/>
    </row>
    <row r="21" spans="1:3" x14ac:dyDescent="0.2">
      <c r="A21" s="606"/>
      <c r="B21" s="454"/>
      <c r="C21" s="607"/>
    </row>
    <row r="22" spans="1:3" x14ac:dyDescent="0.2">
      <c r="A22" s="606"/>
      <c r="B22" s="454"/>
      <c r="C22" s="607"/>
    </row>
    <row r="23" spans="1:3" x14ac:dyDescent="0.2">
      <c r="A23" s="606"/>
      <c r="B23" s="454"/>
      <c r="C23" s="607"/>
    </row>
    <row r="24" spans="1:3" customFormat="1" ht="43.9" customHeight="1" thickBot="1" x14ac:dyDescent="0.3">
      <c r="A24" s="657" t="s">
        <v>649</v>
      </c>
      <c r="B24" s="658"/>
      <c r="C24" s="659"/>
    </row>
  </sheetData>
  <mergeCells count="2">
    <mergeCell ref="A1:C1"/>
    <mergeCell ref="A24:C2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AC484-A22A-4446-8323-941D2956B0DC}">
  <dimension ref="A1:AT25"/>
  <sheetViews>
    <sheetView showGridLines="0" zoomScale="91" zoomScaleNormal="91" workbookViewId="0">
      <selection activeCell="A25" sqref="A25:U25"/>
    </sheetView>
  </sheetViews>
  <sheetFormatPr defaultColWidth="9.140625" defaultRowHeight="14.25" x14ac:dyDescent="0.2"/>
  <cols>
    <col min="1" max="1" width="20.7109375" style="15" customWidth="1"/>
    <col min="2" max="2" width="20.28515625" style="15" customWidth="1"/>
    <col min="3" max="3" width="11.42578125" style="21" customWidth="1"/>
    <col min="4" max="4" width="11.42578125" style="27" customWidth="1"/>
    <col min="5" max="5" width="11.42578125" style="13" customWidth="1"/>
    <col min="6" max="6" width="11.42578125" style="21" customWidth="1"/>
    <col min="7" max="8" width="11.42578125" style="13" customWidth="1"/>
    <col min="9" max="9" width="11.42578125" style="21" customWidth="1"/>
    <col min="10" max="11" width="11.42578125" style="13" customWidth="1"/>
    <col min="12" max="12" width="11.42578125" style="21" customWidth="1"/>
    <col min="13" max="14" width="11.42578125" style="13" customWidth="1"/>
    <col min="15" max="15" width="11.42578125" style="21" customWidth="1"/>
    <col min="16" max="17" width="11.42578125" style="13" customWidth="1"/>
    <col min="18" max="18" width="12.85546875" style="21" customWidth="1"/>
    <col min="19" max="21" width="12.85546875" style="13" customWidth="1"/>
    <col min="22" max="40" width="9.140625" style="14"/>
    <col min="41" max="16384" width="9.140625" style="15"/>
  </cols>
  <sheetData>
    <row r="1" spans="1:46" ht="51" customHeight="1" thickBot="1" x14ac:dyDescent="0.3">
      <c r="A1" s="660" t="s">
        <v>171</v>
      </c>
      <c r="B1" s="661"/>
      <c r="C1" s="661"/>
      <c r="D1" s="661"/>
      <c r="E1" s="661"/>
      <c r="F1" s="661"/>
      <c r="G1" s="661"/>
      <c r="H1" s="661"/>
      <c r="I1" s="661"/>
      <c r="J1" s="661"/>
      <c r="K1" s="661"/>
      <c r="L1" s="661"/>
      <c r="M1" s="661"/>
      <c r="N1" s="661"/>
      <c r="O1" s="661"/>
      <c r="P1" s="661"/>
      <c r="Q1" s="661"/>
      <c r="R1" s="661"/>
      <c r="S1" s="661"/>
      <c r="T1" s="661"/>
      <c r="U1" s="662"/>
      <c r="V1" s="13"/>
      <c r="W1" s="13"/>
      <c r="X1" s="13"/>
      <c r="Y1" s="13"/>
      <c r="Z1" s="13"/>
      <c r="AA1" s="13"/>
      <c r="AO1" s="14"/>
      <c r="AP1" s="14"/>
      <c r="AQ1" s="14"/>
      <c r="AR1" s="14"/>
      <c r="AS1" s="14"/>
      <c r="AT1" s="14"/>
    </row>
    <row r="2" spans="1:46" ht="27.4" customHeight="1" thickBot="1" x14ac:dyDescent="0.3">
      <c r="A2" s="248"/>
      <c r="B2" s="248"/>
      <c r="C2" s="631" t="s">
        <v>172</v>
      </c>
      <c r="D2" s="632"/>
      <c r="E2" s="633"/>
      <c r="F2" s="631" t="s">
        <v>56</v>
      </c>
      <c r="G2" s="632"/>
      <c r="H2" s="633"/>
      <c r="I2" s="631" t="s">
        <v>173</v>
      </c>
      <c r="J2" s="632"/>
      <c r="K2" s="633"/>
      <c r="L2" s="631" t="s">
        <v>174</v>
      </c>
      <c r="M2" s="632"/>
      <c r="N2" s="633"/>
      <c r="O2" s="631" t="s">
        <v>59</v>
      </c>
      <c r="P2" s="632"/>
      <c r="Q2" s="633"/>
      <c r="R2" s="631" t="s">
        <v>175</v>
      </c>
      <c r="S2" s="632"/>
      <c r="T2" s="633"/>
      <c r="U2" s="248"/>
      <c r="V2" s="13"/>
      <c r="W2" s="13"/>
      <c r="X2" s="13"/>
      <c r="Y2" s="13"/>
      <c r="Z2" s="13"/>
      <c r="AA2" s="13"/>
      <c r="AO2" s="14"/>
      <c r="AP2" s="14"/>
      <c r="AQ2" s="14"/>
      <c r="AR2" s="14"/>
      <c r="AS2" s="14"/>
      <c r="AT2" s="14"/>
    </row>
    <row r="3" spans="1:46" s="17" customFormat="1" ht="30.75" thickBot="1" x14ac:dyDescent="0.3">
      <c r="A3" s="24" t="s">
        <v>176</v>
      </c>
      <c r="B3" s="46" t="s">
        <v>177</v>
      </c>
      <c r="C3" s="249" t="s">
        <v>178</v>
      </c>
      <c r="D3" s="26" t="s">
        <v>179</v>
      </c>
      <c r="E3" s="26" t="s">
        <v>180</v>
      </c>
      <c r="F3" s="25" t="s">
        <v>178</v>
      </c>
      <c r="G3" s="47" t="s">
        <v>179</v>
      </c>
      <c r="H3" s="47" t="s">
        <v>180</v>
      </c>
      <c r="I3" s="249" t="s">
        <v>178</v>
      </c>
      <c r="J3" s="26" t="s">
        <v>179</v>
      </c>
      <c r="K3" s="26" t="s">
        <v>180</v>
      </c>
      <c r="L3" s="25" t="s">
        <v>178</v>
      </c>
      <c r="M3" s="47" t="s">
        <v>179</v>
      </c>
      <c r="N3" s="47" t="s">
        <v>180</v>
      </c>
      <c r="O3" s="249" t="s">
        <v>178</v>
      </c>
      <c r="P3" s="26" t="s">
        <v>179</v>
      </c>
      <c r="Q3" s="26" t="s">
        <v>180</v>
      </c>
      <c r="R3" s="25" t="s">
        <v>178</v>
      </c>
      <c r="S3" s="47" t="s">
        <v>179</v>
      </c>
      <c r="T3" s="47" t="s">
        <v>180</v>
      </c>
      <c r="U3" s="28" t="s">
        <v>181</v>
      </c>
      <c r="V3" s="16"/>
      <c r="W3" s="16"/>
      <c r="X3" s="16"/>
      <c r="Y3" s="16"/>
      <c r="Z3" s="16"/>
      <c r="AA3" s="16"/>
      <c r="AB3" s="16"/>
      <c r="AC3" s="16"/>
      <c r="AD3" s="16"/>
      <c r="AE3" s="16"/>
      <c r="AF3" s="16"/>
      <c r="AG3" s="16"/>
      <c r="AH3" s="16"/>
      <c r="AI3" s="16"/>
      <c r="AJ3" s="16"/>
      <c r="AK3" s="16"/>
      <c r="AL3" s="16"/>
      <c r="AM3" s="16"/>
      <c r="AN3" s="16"/>
    </row>
    <row r="4" spans="1:46" x14ac:dyDescent="0.2">
      <c r="B4" s="22"/>
      <c r="C4" s="250">
        <v>1</v>
      </c>
      <c r="D4" s="222">
        <v>5</v>
      </c>
      <c r="E4" s="223">
        <f>C4*D4</f>
        <v>5</v>
      </c>
      <c r="F4" s="23">
        <v>1</v>
      </c>
      <c r="G4" s="137">
        <v>4.5</v>
      </c>
      <c r="H4" s="156">
        <f>C4*G4</f>
        <v>4.5</v>
      </c>
      <c r="I4" s="250">
        <v>1</v>
      </c>
      <c r="J4" s="223">
        <v>0.25</v>
      </c>
      <c r="K4" s="223">
        <f>C4*J4</f>
        <v>0.25</v>
      </c>
      <c r="L4" s="23">
        <v>1</v>
      </c>
      <c r="M4" s="137">
        <v>30</v>
      </c>
      <c r="N4" s="137">
        <f>C4*M4</f>
        <v>30</v>
      </c>
      <c r="O4" s="250">
        <v>1</v>
      </c>
      <c r="P4" s="223">
        <v>8</v>
      </c>
      <c r="Q4" s="223">
        <f>C4*P4</f>
        <v>8</v>
      </c>
      <c r="R4" s="23">
        <v>1</v>
      </c>
      <c r="S4" s="156">
        <v>0</v>
      </c>
      <c r="T4" s="156">
        <f>E4*S4</f>
        <v>0</v>
      </c>
      <c r="U4" s="29">
        <f>E4+H4+K4+N4+Q4</f>
        <v>47.75</v>
      </c>
    </row>
    <row r="5" spans="1:46" x14ac:dyDescent="0.2">
      <c r="A5" s="18"/>
      <c r="B5" s="22"/>
      <c r="C5" s="251"/>
      <c r="D5" s="222"/>
      <c r="E5" s="223">
        <f t="shared" ref="E5:E21" si="0">C5*D5</f>
        <v>0</v>
      </c>
      <c r="F5" s="19"/>
      <c r="G5" s="225">
        <v>4.5</v>
      </c>
      <c r="H5" s="156">
        <f>C5*G5</f>
        <v>0</v>
      </c>
      <c r="I5" s="251"/>
      <c r="J5" s="226"/>
      <c r="K5" s="223">
        <f t="shared" ref="K5:K21" si="1">C5*J5</f>
        <v>0</v>
      </c>
      <c r="L5" s="19"/>
      <c r="M5" s="225"/>
      <c r="N5" s="137">
        <f t="shared" ref="N5:N21" si="2">C5*M5</f>
        <v>0</v>
      </c>
      <c r="O5" s="251"/>
      <c r="P5" s="226"/>
      <c r="Q5" s="223">
        <f t="shared" ref="Q5:Q21" si="3">C5*P5</f>
        <v>0</v>
      </c>
      <c r="R5" s="19"/>
      <c r="S5" s="156"/>
      <c r="T5" s="156">
        <f t="shared" ref="T5:T22" si="4">E5*S5</f>
        <v>0</v>
      </c>
      <c r="U5" s="29">
        <f t="shared" ref="U5:U21" si="5">E5+H5+K5+N5+Q5</f>
        <v>0</v>
      </c>
    </row>
    <row r="6" spans="1:46" x14ac:dyDescent="0.2">
      <c r="A6" s="18"/>
      <c r="B6" s="18"/>
      <c r="C6" s="251"/>
      <c r="D6" s="222"/>
      <c r="E6" s="223">
        <f t="shared" si="0"/>
        <v>0</v>
      </c>
      <c r="F6" s="19"/>
      <c r="G6" s="20"/>
      <c r="H6" s="156">
        <f>C6*G5</f>
        <v>0</v>
      </c>
      <c r="I6" s="251"/>
      <c r="J6" s="226"/>
      <c r="K6" s="223">
        <f t="shared" si="1"/>
        <v>0</v>
      </c>
      <c r="L6" s="19"/>
      <c r="M6" s="225"/>
      <c r="N6" s="137">
        <f t="shared" si="2"/>
        <v>0</v>
      </c>
      <c r="O6" s="251"/>
      <c r="P6" s="226"/>
      <c r="Q6" s="223">
        <f t="shared" si="3"/>
        <v>0</v>
      </c>
      <c r="R6" s="19"/>
      <c r="S6" s="156"/>
      <c r="T6" s="156">
        <f t="shared" si="4"/>
        <v>0</v>
      </c>
      <c r="U6" s="29">
        <f t="shared" si="5"/>
        <v>0</v>
      </c>
    </row>
    <row r="7" spans="1:46" x14ac:dyDescent="0.2">
      <c r="B7" s="18"/>
      <c r="C7" s="251"/>
      <c r="D7" s="222"/>
      <c r="E7" s="223">
        <f t="shared" si="0"/>
        <v>0</v>
      </c>
      <c r="F7" s="19"/>
      <c r="G7" s="225"/>
      <c r="H7" s="156">
        <f t="shared" ref="H7:H21" si="6">C7*G7</f>
        <v>0</v>
      </c>
      <c r="I7" s="251"/>
      <c r="J7" s="226"/>
      <c r="K7" s="223">
        <f t="shared" si="1"/>
        <v>0</v>
      </c>
      <c r="L7" s="19"/>
      <c r="M7" s="225"/>
      <c r="N7" s="137">
        <f t="shared" si="2"/>
        <v>0</v>
      </c>
      <c r="O7" s="251"/>
      <c r="P7" s="226"/>
      <c r="Q7" s="223">
        <f t="shared" si="3"/>
        <v>0</v>
      </c>
      <c r="R7" s="19"/>
      <c r="S7" s="156"/>
      <c r="T7" s="156">
        <f t="shared" si="4"/>
        <v>0</v>
      </c>
      <c r="U7" s="29">
        <f t="shared" si="5"/>
        <v>0</v>
      </c>
    </row>
    <row r="8" spans="1:46" x14ac:dyDescent="0.2">
      <c r="B8" s="18"/>
      <c r="C8" s="251"/>
      <c r="D8" s="222"/>
      <c r="E8" s="223">
        <f t="shared" si="0"/>
        <v>0</v>
      </c>
      <c r="F8" s="19"/>
      <c r="G8" s="225"/>
      <c r="H8" s="156">
        <f t="shared" si="6"/>
        <v>0</v>
      </c>
      <c r="I8" s="251"/>
      <c r="J8" s="226"/>
      <c r="K8" s="223">
        <f t="shared" si="1"/>
        <v>0</v>
      </c>
      <c r="L8" s="19"/>
      <c r="M8" s="225"/>
      <c r="N8" s="137">
        <f t="shared" si="2"/>
        <v>0</v>
      </c>
      <c r="O8" s="251"/>
      <c r="P8" s="226"/>
      <c r="Q8" s="223">
        <f t="shared" si="3"/>
        <v>0</v>
      </c>
      <c r="R8" s="19"/>
      <c r="S8" s="156"/>
      <c r="T8" s="156">
        <f t="shared" si="4"/>
        <v>0</v>
      </c>
      <c r="U8" s="29">
        <f t="shared" si="5"/>
        <v>0</v>
      </c>
    </row>
    <row r="9" spans="1:46" x14ac:dyDescent="0.2">
      <c r="A9" s="18"/>
      <c r="B9" s="18"/>
      <c r="C9" s="251"/>
      <c r="D9" s="227"/>
      <c r="E9" s="223">
        <f t="shared" si="0"/>
        <v>0</v>
      </c>
      <c r="F9" s="19"/>
      <c r="G9" s="225"/>
      <c r="H9" s="156">
        <f t="shared" si="6"/>
        <v>0</v>
      </c>
      <c r="I9" s="251"/>
      <c r="J9" s="226"/>
      <c r="K9" s="223">
        <f t="shared" si="1"/>
        <v>0</v>
      </c>
      <c r="L9" s="19"/>
      <c r="M9" s="225"/>
      <c r="N9" s="137">
        <f t="shared" si="2"/>
        <v>0</v>
      </c>
      <c r="O9" s="251"/>
      <c r="P9" s="226"/>
      <c r="Q9" s="223">
        <f t="shared" si="3"/>
        <v>0</v>
      </c>
      <c r="R9" s="19"/>
      <c r="S9" s="156"/>
      <c r="T9" s="156">
        <f t="shared" si="4"/>
        <v>0</v>
      </c>
      <c r="U9" s="29">
        <f t="shared" si="5"/>
        <v>0</v>
      </c>
    </row>
    <row r="10" spans="1:46" x14ac:dyDescent="0.2">
      <c r="A10" s="18"/>
      <c r="C10" s="251"/>
      <c r="D10" s="227"/>
      <c r="E10" s="223">
        <f t="shared" si="0"/>
        <v>0</v>
      </c>
      <c r="F10" s="19"/>
      <c r="G10" s="224"/>
      <c r="H10" s="156">
        <f t="shared" si="6"/>
        <v>0</v>
      </c>
      <c r="I10" s="251"/>
      <c r="J10" s="228"/>
      <c r="K10" s="223">
        <f t="shared" si="1"/>
        <v>0</v>
      </c>
      <c r="L10" s="19"/>
      <c r="M10" s="224"/>
      <c r="N10" s="137">
        <f t="shared" si="2"/>
        <v>0</v>
      </c>
      <c r="O10" s="251"/>
      <c r="P10" s="228"/>
      <c r="Q10" s="223">
        <f t="shared" si="3"/>
        <v>0</v>
      </c>
      <c r="R10" s="19"/>
      <c r="S10" s="156"/>
      <c r="T10" s="156">
        <f t="shared" si="4"/>
        <v>0</v>
      </c>
      <c r="U10" s="29">
        <f t="shared" si="5"/>
        <v>0</v>
      </c>
    </row>
    <row r="11" spans="1:46" x14ac:dyDescent="0.2">
      <c r="A11" s="18"/>
      <c r="B11" s="18"/>
      <c r="C11" s="251"/>
      <c r="D11" s="227"/>
      <c r="E11" s="223">
        <f t="shared" si="0"/>
        <v>0</v>
      </c>
      <c r="F11" s="19"/>
      <c r="G11" s="224"/>
      <c r="H11" s="156">
        <f t="shared" si="6"/>
        <v>0</v>
      </c>
      <c r="I11" s="251"/>
      <c r="J11" s="228"/>
      <c r="K11" s="223">
        <f t="shared" si="1"/>
        <v>0</v>
      </c>
      <c r="L11" s="19"/>
      <c r="M11" s="224"/>
      <c r="N11" s="137">
        <f t="shared" si="2"/>
        <v>0</v>
      </c>
      <c r="O11" s="251"/>
      <c r="P11" s="228"/>
      <c r="Q11" s="223">
        <f t="shared" si="3"/>
        <v>0</v>
      </c>
      <c r="R11" s="19"/>
      <c r="S11" s="156"/>
      <c r="T11" s="156">
        <f t="shared" si="4"/>
        <v>0</v>
      </c>
      <c r="U11" s="29">
        <f t="shared" si="5"/>
        <v>0</v>
      </c>
    </row>
    <row r="12" spans="1:46" x14ac:dyDescent="0.2">
      <c r="A12" s="18"/>
      <c r="B12" s="18"/>
      <c r="C12" s="251"/>
      <c r="D12" s="227"/>
      <c r="E12" s="223">
        <f t="shared" si="0"/>
        <v>0</v>
      </c>
      <c r="F12" s="19"/>
      <c r="G12" s="224"/>
      <c r="H12" s="156">
        <f t="shared" si="6"/>
        <v>0</v>
      </c>
      <c r="I12" s="251"/>
      <c r="J12" s="228"/>
      <c r="K12" s="223">
        <f t="shared" si="1"/>
        <v>0</v>
      </c>
      <c r="L12" s="19"/>
      <c r="M12" s="224"/>
      <c r="N12" s="137">
        <f t="shared" si="2"/>
        <v>0</v>
      </c>
      <c r="O12" s="251"/>
      <c r="P12" s="228"/>
      <c r="Q12" s="223">
        <f t="shared" si="3"/>
        <v>0</v>
      </c>
      <c r="R12" s="19"/>
      <c r="S12" s="156"/>
      <c r="T12" s="156">
        <f t="shared" si="4"/>
        <v>0</v>
      </c>
      <c r="U12" s="29">
        <f t="shared" si="5"/>
        <v>0</v>
      </c>
    </row>
    <row r="13" spans="1:46" x14ac:dyDescent="0.2">
      <c r="A13" s="18"/>
      <c r="B13" s="18"/>
      <c r="C13" s="251"/>
      <c r="D13" s="227"/>
      <c r="E13" s="223">
        <f t="shared" si="0"/>
        <v>0</v>
      </c>
      <c r="F13" s="19"/>
      <c r="G13" s="224"/>
      <c r="H13" s="156">
        <f t="shared" si="6"/>
        <v>0</v>
      </c>
      <c r="I13" s="251"/>
      <c r="J13" s="228"/>
      <c r="K13" s="223">
        <f t="shared" si="1"/>
        <v>0</v>
      </c>
      <c r="L13" s="19"/>
      <c r="M13" s="224"/>
      <c r="N13" s="137">
        <f t="shared" si="2"/>
        <v>0</v>
      </c>
      <c r="O13" s="251"/>
      <c r="P13" s="228"/>
      <c r="Q13" s="223">
        <f t="shared" si="3"/>
        <v>0</v>
      </c>
      <c r="R13" s="19"/>
      <c r="S13" s="156"/>
      <c r="T13" s="156">
        <f t="shared" si="4"/>
        <v>0</v>
      </c>
      <c r="U13" s="29">
        <f t="shared" si="5"/>
        <v>0</v>
      </c>
    </row>
    <row r="14" spans="1:46" x14ac:dyDescent="0.2">
      <c r="A14" s="18"/>
      <c r="B14" s="18"/>
      <c r="C14" s="251"/>
      <c r="D14" s="227"/>
      <c r="E14" s="223">
        <f t="shared" si="0"/>
        <v>0</v>
      </c>
      <c r="F14" s="19"/>
      <c r="G14" s="224"/>
      <c r="H14" s="156">
        <f t="shared" si="6"/>
        <v>0</v>
      </c>
      <c r="I14" s="251"/>
      <c r="J14" s="228"/>
      <c r="K14" s="223">
        <f t="shared" si="1"/>
        <v>0</v>
      </c>
      <c r="L14" s="19"/>
      <c r="M14" s="224"/>
      <c r="N14" s="137">
        <f t="shared" si="2"/>
        <v>0</v>
      </c>
      <c r="O14" s="251"/>
      <c r="P14" s="228"/>
      <c r="Q14" s="223">
        <f t="shared" si="3"/>
        <v>0</v>
      </c>
      <c r="R14" s="19"/>
      <c r="S14" s="156"/>
      <c r="T14" s="156">
        <f t="shared" si="4"/>
        <v>0</v>
      </c>
      <c r="U14" s="29">
        <f t="shared" si="5"/>
        <v>0</v>
      </c>
    </row>
    <row r="15" spans="1:46" x14ac:dyDescent="0.2">
      <c r="A15" s="18"/>
      <c r="B15" s="18"/>
      <c r="C15" s="251"/>
      <c r="D15" s="227"/>
      <c r="E15" s="223">
        <f t="shared" si="0"/>
        <v>0</v>
      </c>
      <c r="F15" s="19"/>
      <c r="G15" s="224"/>
      <c r="H15" s="156">
        <f t="shared" si="6"/>
        <v>0</v>
      </c>
      <c r="I15" s="251"/>
      <c r="J15" s="228"/>
      <c r="K15" s="223">
        <f t="shared" si="1"/>
        <v>0</v>
      </c>
      <c r="L15" s="19"/>
      <c r="M15" s="224"/>
      <c r="N15" s="137">
        <f t="shared" si="2"/>
        <v>0</v>
      </c>
      <c r="O15" s="251"/>
      <c r="P15" s="228"/>
      <c r="Q15" s="223">
        <f t="shared" si="3"/>
        <v>0</v>
      </c>
      <c r="R15" s="19"/>
      <c r="S15" s="156"/>
      <c r="T15" s="156">
        <f t="shared" si="4"/>
        <v>0</v>
      </c>
      <c r="U15" s="29">
        <f t="shared" si="5"/>
        <v>0</v>
      </c>
    </row>
    <row r="16" spans="1:46" x14ac:dyDescent="0.2">
      <c r="A16" s="18"/>
      <c r="B16" s="18"/>
      <c r="C16" s="251"/>
      <c r="D16" s="227"/>
      <c r="E16" s="223">
        <f t="shared" si="0"/>
        <v>0</v>
      </c>
      <c r="F16" s="19"/>
      <c r="G16" s="224"/>
      <c r="H16" s="156">
        <f t="shared" si="6"/>
        <v>0</v>
      </c>
      <c r="I16" s="251"/>
      <c r="J16" s="228"/>
      <c r="K16" s="223">
        <f t="shared" si="1"/>
        <v>0</v>
      </c>
      <c r="L16" s="19"/>
      <c r="M16" s="224"/>
      <c r="N16" s="137">
        <f t="shared" si="2"/>
        <v>0</v>
      </c>
      <c r="O16" s="251"/>
      <c r="P16" s="228"/>
      <c r="Q16" s="223">
        <f t="shared" si="3"/>
        <v>0</v>
      </c>
      <c r="R16" s="19"/>
      <c r="S16" s="156"/>
      <c r="T16" s="156">
        <f t="shared" si="4"/>
        <v>0</v>
      </c>
      <c r="U16" s="29">
        <f t="shared" si="5"/>
        <v>0</v>
      </c>
    </row>
    <row r="17" spans="1:21" x14ac:dyDescent="0.2">
      <c r="A17" s="18"/>
      <c r="B17" s="18"/>
      <c r="C17" s="251"/>
      <c r="D17" s="227"/>
      <c r="E17" s="223">
        <f t="shared" si="0"/>
        <v>0</v>
      </c>
      <c r="F17" s="19"/>
      <c r="G17" s="224"/>
      <c r="H17" s="156">
        <f t="shared" si="6"/>
        <v>0</v>
      </c>
      <c r="I17" s="251"/>
      <c r="J17" s="228"/>
      <c r="K17" s="223">
        <f t="shared" si="1"/>
        <v>0</v>
      </c>
      <c r="L17" s="19"/>
      <c r="M17" s="224"/>
      <c r="N17" s="137">
        <f t="shared" si="2"/>
        <v>0</v>
      </c>
      <c r="O17" s="251"/>
      <c r="P17" s="228"/>
      <c r="Q17" s="223">
        <f t="shared" si="3"/>
        <v>0</v>
      </c>
      <c r="R17" s="19"/>
      <c r="S17" s="156"/>
      <c r="T17" s="156">
        <f t="shared" si="4"/>
        <v>0</v>
      </c>
      <c r="U17" s="29">
        <f t="shared" si="5"/>
        <v>0</v>
      </c>
    </row>
    <row r="18" spans="1:21" x14ac:dyDescent="0.2">
      <c r="A18" s="18"/>
      <c r="B18" s="18"/>
      <c r="C18" s="251"/>
      <c r="D18" s="227"/>
      <c r="E18" s="223">
        <f t="shared" si="0"/>
        <v>0</v>
      </c>
      <c r="F18" s="19"/>
      <c r="G18" s="224"/>
      <c r="H18" s="156">
        <f t="shared" si="6"/>
        <v>0</v>
      </c>
      <c r="I18" s="251"/>
      <c r="J18" s="228"/>
      <c r="K18" s="223">
        <f t="shared" si="1"/>
        <v>0</v>
      </c>
      <c r="L18" s="19"/>
      <c r="M18" s="224"/>
      <c r="N18" s="137">
        <f t="shared" si="2"/>
        <v>0</v>
      </c>
      <c r="O18" s="251"/>
      <c r="P18" s="228"/>
      <c r="Q18" s="223">
        <f t="shared" si="3"/>
        <v>0</v>
      </c>
      <c r="R18" s="19"/>
      <c r="S18" s="156"/>
      <c r="T18" s="156">
        <f t="shared" si="4"/>
        <v>0</v>
      </c>
      <c r="U18" s="29">
        <f t="shared" si="5"/>
        <v>0</v>
      </c>
    </row>
    <row r="19" spans="1:21" x14ac:dyDescent="0.2">
      <c r="A19" s="18"/>
      <c r="B19" s="18"/>
      <c r="C19" s="251"/>
      <c r="D19" s="227"/>
      <c r="E19" s="223">
        <f t="shared" si="0"/>
        <v>0</v>
      </c>
      <c r="F19" s="19"/>
      <c r="G19" s="224"/>
      <c r="H19" s="156">
        <f t="shared" si="6"/>
        <v>0</v>
      </c>
      <c r="I19" s="251"/>
      <c r="J19" s="228"/>
      <c r="K19" s="223">
        <f t="shared" si="1"/>
        <v>0</v>
      </c>
      <c r="L19" s="19"/>
      <c r="M19" s="224"/>
      <c r="N19" s="137">
        <f t="shared" si="2"/>
        <v>0</v>
      </c>
      <c r="O19" s="251"/>
      <c r="P19" s="228"/>
      <c r="Q19" s="223">
        <f t="shared" si="3"/>
        <v>0</v>
      </c>
      <c r="R19" s="19"/>
      <c r="S19" s="156"/>
      <c r="T19" s="156">
        <f t="shared" si="4"/>
        <v>0</v>
      </c>
      <c r="U19" s="29">
        <f t="shared" si="5"/>
        <v>0</v>
      </c>
    </row>
    <row r="20" spans="1:21" x14ac:dyDescent="0.2">
      <c r="A20" s="18"/>
      <c r="C20" s="252"/>
      <c r="D20" s="227"/>
      <c r="E20" s="223">
        <f t="shared" si="0"/>
        <v>0</v>
      </c>
      <c r="F20" s="242"/>
      <c r="G20" s="224"/>
      <c r="H20" s="156">
        <f t="shared" si="6"/>
        <v>0</v>
      </c>
      <c r="I20" s="252"/>
      <c r="J20" s="228"/>
      <c r="K20" s="223">
        <f t="shared" si="1"/>
        <v>0</v>
      </c>
      <c r="L20" s="242"/>
      <c r="M20" s="224"/>
      <c r="N20" s="137">
        <f t="shared" si="2"/>
        <v>0</v>
      </c>
      <c r="O20" s="252"/>
      <c r="P20" s="228"/>
      <c r="Q20" s="223">
        <f t="shared" si="3"/>
        <v>0</v>
      </c>
      <c r="R20" s="242"/>
      <c r="S20" s="156"/>
      <c r="T20" s="156">
        <f t="shared" si="4"/>
        <v>0</v>
      </c>
      <c r="U20" s="29">
        <f t="shared" si="5"/>
        <v>0</v>
      </c>
    </row>
    <row r="21" spans="1:21" x14ac:dyDescent="0.2">
      <c r="A21" s="18"/>
      <c r="B21" s="18"/>
      <c r="C21" s="251"/>
      <c r="D21" s="227"/>
      <c r="E21" s="223">
        <f t="shared" si="0"/>
        <v>0</v>
      </c>
      <c r="F21" s="19"/>
      <c r="G21" s="224"/>
      <c r="H21" s="156">
        <f t="shared" si="6"/>
        <v>0</v>
      </c>
      <c r="I21" s="251"/>
      <c r="J21" s="228"/>
      <c r="K21" s="223">
        <f t="shared" si="1"/>
        <v>0</v>
      </c>
      <c r="L21" s="19"/>
      <c r="M21" s="224"/>
      <c r="N21" s="137">
        <f t="shared" si="2"/>
        <v>0</v>
      </c>
      <c r="O21" s="251"/>
      <c r="P21" s="228"/>
      <c r="Q21" s="223">
        <f t="shared" si="3"/>
        <v>0</v>
      </c>
      <c r="R21" s="19"/>
      <c r="S21" s="156"/>
      <c r="T21" s="156">
        <f t="shared" si="4"/>
        <v>0</v>
      </c>
      <c r="U21" s="29">
        <f t="shared" si="5"/>
        <v>0</v>
      </c>
    </row>
    <row r="22" spans="1:21" ht="19.899999999999999" customHeight="1" thickBot="1" x14ac:dyDescent="0.3">
      <c r="A22" s="243" t="s">
        <v>182</v>
      </c>
      <c r="B22" s="243"/>
      <c r="C22" s="244">
        <f>SUM(C4:C19)</f>
        <v>1</v>
      </c>
      <c r="D22" s="229"/>
      <c r="E22" s="229">
        <f>SUM(E4:E21)</f>
        <v>5</v>
      </c>
      <c r="F22" s="30">
        <f>SUM(F4:F19)</f>
        <v>1</v>
      </c>
      <c r="G22" s="229"/>
      <c r="H22" s="230">
        <f>SUM(H4:H21)</f>
        <v>4.5</v>
      </c>
      <c r="I22" s="30">
        <f>SUM(I4:I19)</f>
        <v>1</v>
      </c>
      <c r="J22" s="229"/>
      <c r="K22" s="229">
        <f>SUM(K4:K21)</f>
        <v>0.25</v>
      </c>
      <c r="L22" s="30">
        <f>SUM(L4:L19)</f>
        <v>1</v>
      </c>
      <c r="M22" s="229"/>
      <c r="N22" s="229">
        <f>SUM(N4:N21)</f>
        <v>30</v>
      </c>
      <c r="O22" s="30">
        <f>SUM(O4:O19)</f>
        <v>1</v>
      </c>
      <c r="P22" s="229"/>
      <c r="Q22" s="229">
        <f>SUM(Q4:Q21)</f>
        <v>8</v>
      </c>
      <c r="R22" s="30">
        <f>SUM(R4:R19)</f>
        <v>1</v>
      </c>
      <c r="S22" s="230"/>
      <c r="T22" s="230">
        <f t="shared" si="4"/>
        <v>0</v>
      </c>
      <c r="U22" s="30">
        <f>SUM(U4:U21)</f>
        <v>47.75</v>
      </c>
    </row>
    <row r="23" spans="1:21" ht="31.9" customHeight="1" thickBot="1" x14ac:dyDescent="0.25">
      <c r="A23" s="245" t="s">
        <v>183</v>
      </c>
      <c r="B23" s="246"/>
      <c r="C23" s="247">
        <f>(C22+F22+I22+L22+O22+R22)</f>
        <v>6</v>
      </c>
      <c r="D23" s="232"/>
      <c r="E23" s="233"/>
      <c r="F23" s="231"/>
      <c r="G23" s="233"/>
      <c r="H23" s="233"/>
      <c r="I23" s="231"/>
      <c r="J23" s="233"/>
      <c r="K23" s="233"/>
      <c r="L23" s="231"/>
      <c r="M23" s="233"/>
      <c r="N23" s="233"/>
      <c r="O23" s="231"/>
      <c r="P23" s="233"/>
      <c r="Q23" s="233"/>
      <c r="R23" s="231"/>
      <c r="S23" s="233"/>
      <c r="T23" s="233"/>
      <c r="U23" s="233"/>
    </row>
    <row r="25" spans="1:21" ht="22.15" customHeight="1" x14ac:dyDescent="0.2">
      <c r="A25" s="630" t="s">
        <v>649</v>
      </c>
      <c r="B25" s="630"/>
      <c r="C25" s="630"/>
      <c r="D25" s="630"/>
      <c r="E25" s="630"/>
      <c r="F25" s="630"/>
      <c r="G25" s="630"/>
      <c r="H25" s="630"/>
      <c r="I25" s="630"/>
      <c r="J25" s="630"/>
      <c r="K25" s="630"/>
      <c r="L25" s="630"/>
      <c r="M25" s="630"/>
      <c r="N25" s="630"/>
      <c r="O25" s="630"/>
      <c r="P25" s="630"/>
      <c r="Q25" s="630"/>
      <c r="R25" s="630"/>
      <c r="S25" s="630"/>
      <c r="T25" s="630"/>
      <c r="U25" s="630"/>
    </row>
  </sheetData>
  <mergeCells count="8">
    <mergeCell ref="A25:U25"/>
    <mergeCell ref="A1:U1"/>
    <mergeCell ref="C2:E2"/>
    <mergeCell ref="R2:T2"/>
    <mergeCell ref="O2:Q2"/>
    <mergeCell ref="I2:K2"/>
    <mergeCell ref="F2:H2"/>
    <mergeCell ref="L2:N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624F1-2D6D-499E-B30A-3F4AE32B3737}">
  <dimension ref="A1:M152"/>
  <sheetViews>
    <sheetView tabSelected="1" zoomScaleNormal="100" workbookViewId="0">
      <pane ySplit="5" topLeftCell="A138" activePane="bottomLeft" state="frozen"/>
      <selection pane="bottomLeft" activeCell="A152" sqref="A152:H152"/>
    </sheetView>
  </sheetViews>
  <sheetFormatPr defaultColWidth="8.7109375" defaultRowHeight="15" x14ac:dyDescent="0.25"/>
  <cols>
    <col min="1" max="1" width="10.7109375" style="45" customWidth="1"/>
    <col min="2" max="2" width="45.28515625" style="45" customWidth="1"/>
    <col min="3" max="3" width="15.42578125" style="406" customWidth="1"/>
    <col min="4" max="4" width="12.7109375" customWidth="1"/>
    <col min="5" max="5" width="13.5703125" bestFit="1" customWidth="1"/>
    <col min="6" max="8" width="12.7109375" customWidth="1"/>
    <col min="9" max="9" width="15.5703125" bestFit="1" customWidth="1"/>
    <col min="10" max="10" width="74.7109375" style="45" customWidth="1"/>
    <col min="11" max="11" width="17.7109375" style="571" customWidth="1"/>
    <col min="12" max="12" width="25.140625" style="551" customWidth="1"/>
    <col min="13" max="13" width="25.42578125" customWidth="1"/>
  </cols>
  <sheetData>
    <row r="1" spans="1:13" ht="46.15" customHeight="1" thickBot="1" x14ac:dyDescent="0.3">
      <c r="B1" s="678" t="s">
        <v>184</v>
      </c>
      <c r="C1" s="679"/>
      <c r="D1" s="679"/>
      <c r="E1" s="679"/>
      <c r="F1" s="679"/>
      <c r="G1" s="679"/>
      <c r="H1" s="679"/>
      <c r="I1" s="679"/>
      <c r="J1" s="679"/>
      <c r="K1" s="679"/>
      <c r="L1" s="680"/>
      <c r="M1" s="319" t="s">
        <v>185</v>
      </c>
    </row>
    <row r="2" spans="1:13" ht="15" customHeight="1" thickBot="1" x14ac:dyDescent="0.3">
      <c r="A2" s="709" t="s">
        <v>21</v>
      </c>
      <c r="B2" s="690" t="s">
        <v>186</v>
      </c>
      <c r="C2" s="693" t="s">
        <v>187</v>
      </c>
      <c r="D2" s="694"/>
      <c r="E2" s="694"/>
      <c r="F2" s="694"/>
      <c r="G2" s="694"/>
      <c r="H2" s="694"/>
      <c r="I2" s="695"/>
      <c r="J2" s="702" t="s">
        <v>188</v>
      </c>
      <c r="K2" s="703"/>
      <c r="L2" s="704"/>
      <c r="M2" s="320" t="s">
        <v>189</v>
      </c>
    </row>
    <row r="3" spans="1:13" ht="15.75" thickBot="1" x14ac:dyDescent="0.3">
      <c r="A3" s="671"/>
      <c r="B3" s="691"/>
      <c r="C3" s="696"/>
      <c r="D3" s="697"/>
      <c r="E3" s="697"/>
      <c r="F3" s="697"/>
      <c r="G3" s="697"/>
      <c r="H3" s="697"/>
      <c r="I3" s="698"/>
      <c r="J3" s="705"/>
      <c r="K3" s="705"/>
      <c r="L3" s="706"/>
      <c r="M3" s="321" t="s">
        <v>190</v>
      </c>
    </row>
    <row r="4" spans="1:13" ht="40.15" customHeight="1" thickBot="1" x14ac:dyDescent="0.3">
      <c r="A4" s="671"/>
      <c r="B4" s="692"/>
      <c r="C4" s="699"/>
      <c r="D4" s="700"/>
      <c r="E4" s="700"/>
      <c r="F4" s="700"/>
      <c r="G4" s="700"/>
      <c r="H4" s="700"/>
      <c r="I4" s="701"/>
      <c r="J4" s="707"/>
      <c r="K4" s="707"/>
      <c r="L4" s="708"/>
      <c r="M4" s="322" t="s">
        <v>191</v>
      </c>
    </row>
    <row r="5" spans="1:13" ht="45.75" thickBot="1" x14ac:dyDescent="0.3">
      <c r="A5" s="671"/>
      <c r="B5" s="323"/>
      <c r="C5" s="324" t="s">
        <v>55</v>
      </c>
      <c r="D5" s="325" t="s">
        <v>56</v>
      </c>
      <c r="E5" s="325" t="s">
        <v>58</v>
      </c>
      <c r="F5" s="325" t="s">
        <v>57</v>
      </c>
      <c r="G5" s="325" t="s">
        <v>59</v>
      </c>
      <c r="H5" s="325" t="s">
        <v>192</v>
      </c>
      <c r="I5" s="326" t="s">
        <v>193</v>
      </c>
      <c r="J5" s="327" t="s">
        <v>89</v>
      </c>
      <c r="K5" s="328" t="s">
        <v>194</v>
      </c>
      <c r="L5" s="329" t="s">
        <v>195</v>
      </c>
      <c r="M5" s="330" t="s">
        <v>196</v>
      </c>
    </row>
    <row r="6" spans="1:13" ht="30.75" thickBot="1" x14ac:dyDescent="0.3">
      <c r="A6" s="671"/>
      <c r="B6" s="187" t="s">
        <v>197</v>
      </c>
      <c r="C6" s="331"/>
      <c r="D6" s="332"/>
      <c r="E6" s="332"/>
      <c r="F6" s="332"/>
      <c r="G6" s="332"/>
      <c r="H6" s="332"/>
      <c r="I6" s="331">
        <f>SUM(C6:H6)</f>
        <v>0</v>
      </c>
      <c r="J6" s="187" t="s">
        <v>198</v>
      </c>
      <c r="K6" s="395" t="s">
        <v>199</v>
      </c>
      <c r="L6" s="412"/>
    </row>
    <row r="7" spans="1:13" ht="15.75" thickBot="1" x14ac:dyDescent="0.3">
      <c r="A7" s="671"/>
      <c r="B7" s="333" t="s">
        <v>200</v>
      </c>
      <c r="C7" s="334"/>
      <c r="D7" s="335"/>
      <c r="E7" s="335"/>
      <c r="F7" s="335"/>
      <c r="G7" s="335"/>
      <c r="H7" s="335"/>
      <c r="I7" s="335"/>
      <c r="J7" s="187" t="s">
        <v>201</v>
      </c>
      <c r="K7" s="395" t="s">
        <v>202</v>
      </c>
      <c r="L7" s="412"/>
    </row>
    <row r="8" spans="1:13" ht="15.75" thickBot="1" x14ac:dyDescent="0.3">
      <c r="A8" s="671"/>
      <c r="B8" s="336" t="s">
        <v>203</v>
      </c>
      <c r="C8" s="337">
        <f t="shared" ref="C8:H8" si="0">C6*C7</f>
        <v>0</v>
      </c>
      <c r="D8" s="337">
        <f t="shared" si="0"/>
        <v>0</v>
      </c>
      <c r="E8" s="337">
        <f>E6*E7</f>
        <v>0</v>
      </c>
      <c r="F8" s="337">
        <f t="shared" si="0"/>
        <v>0</v>
      </c>
      <c r="G8" s="337">
        <f t="shared" si="0"/>
        <v>0</v>
      </c>
      <c r="H8" s="337">
        <f t="shared" si="0"/>
        <v>0</v>
      </c>
      <c r="I8" s="337">
        <f>SUM(C8:H8)</f>
        <v>0</v>
      </c>
      <c r="J8" s="336" t="s">
        <v>204</v>
      </c>
      <c r="K8" s="538" t="s">
        <v>205</v>
      </c>
      <c r="L8" s="539" t="s">
        <v>206</v>
      </c>
    </row>
    <row r="9" spans="1:13" ht="30.75" thickBot="1" x14ac:dyDescent="0.3">
      <c r="A9" s="671"/>
      <c r="B9" s="333" t="s">
        <v>207</v>
      </c>
      <c r="C9" s="338">
        <f>'1 - Data Source Estimates'!C22</f>
        <v>1</v>
      </c>
      <c r="D9" s="339">
        <f>'1 - Data Source Estimates'!F22</f>
        <v>1</v>
      </c>
      <c r="E9" s="339">
        <f>'1 - Data Source Estimates'!L22</f>
        <v>1</v>
      </c>
      <c r="F9" s="339">
        <f>'1 - Data Source Estimates'!I22</f>
        <v>1</v>
      </c>
      <c r="G9" s="339">
        <f>'1 - Data Source Estimates'!O22</f>
        <v>1</v>
      </c>
      <c r="H9" s="339">
        <v>0</v>
      </c>
      <c r="I9" s="339">
        <f>SUM(C9:H9)</f>
        <v>5</v>
      </c>
      <c r="J9" s="187" t="s">
        <v>208</v>
      </c>
      <c r="K9" s="395" t="s">
        <v>209</v>
      </c>
      <c r="L9" s="412"/>
    </row>
    <row r="10" spans="1:13" ht="15.75" thickBot="1" x14ac:dyDescent="0.3">
      <c r="A10" s="671"/>
      <c r="B10" s="333" t="s">
        <v>210</v>
      </c>
      <c r="C10" s="334">
        <v>750</v>
      </c>
      <c r="D10" s="335">
        <v>1150</v>
      </c>
      <c r="E10" s="335">
        <v>600</v>
      </c>
      <c r="F10" s="335">
        <v>500</v>
      </c>
      <c r="G10" s="335">
        <v>750</v>
      </c>
      <c r="H10" s="335"/>
      <c r="I10" s="335">
        <f>SUM(C10:H10)</f>
        <v>3750</v>
      </c>
      <c r="J10" s="187" t="s">
        <v>211</v>
      </c>
      <c r="K10" s="395" t="s">
        <v>212</v>
      </c>
      <c r="L10" s="412"/>
    </row>
    <row r="11" spans="1:13" ht="30.75" thickBot="1" x14ac:dyDescent="0.3">
      <c r="A11" s="671"/>
      <c r="B11" s="336" t="s">
        <v>213</v>
      </c>
      <c r="C11" s="337">
        <f t="shared" ref="C11:H11" si="1">C9*C10</f>
        <v>750</v>
      </c>
      <c r="D11" s="337">
        <f t="shared" si="1"/>
        <v>1150</v>
      </c>
      <c r="E11" s="337">
        <f>E9*E10</f>
        <v>600</v>
      </c>
      <c r="F11" s="337">
        <f t="shared" si="1"/>
        <v>500</v>
      </c>
      <c r="G11" s="337">
        <f t="shared" si="1"/>
        <v>750</v>
      </c>
      <c r="H11" s="337">
        <f t="shared" si="1"/>
        <v>0</v>
      </c>
      <c r="I11" s="337"/>
      <c r="J11" s="336" t="s">
        <v>214</v>
      </c>
      <c r="K11" s="538" t="s">
        <v>215</v>
      </c>
      <c r="L11" s="539" t="s">
        <v>216</v>
      </c>
    </row>
    <row r="12" spans="1:13" ht="15.75" thickBot="1" x14ac:dyDescent="0.3">
      <c r="A12" s="671"/>
      <c r="B12" s="333" t="s">
        <v>217</v>
      </c>
      <c r="C12" s="340"/>
      <c r="D12" s="341"/>
      <c r="E12" s="341"/>
      <c r="F12" s="341"/>
      <c r="G12" s="341"/>
      <c r="H12" s="341"/>
      <c r="I12" s="341"/>
      <c r="J12" s="187" t="s">
        <v>218</v>
      </c>
      <c r="K12" s="395" t="s">
        <v>219</v>
      </c>
      <c r="L12" s="412"/>
    </row>
    <row r="13" spans="1:13" ht="15.75" thickBot="1" x14ac:dyDescent="0.3">
      <c r="A13" s="671"/>
      <c r="B13" s="333" t="s">
        <v>220</v>
      </c>
      <c r="C13" s="334"/>
      <c r="D13" s="335"/>
      <c r="E13" s="335"/>
      <c r="F13" s="335"/>
      <c r="G13" s="335"/>
      <c r="H13" s="335"/>
      <c r="I13" s="335"/>
      <c r="J13" s="187" t="s">
        <v>221</v>
      </c>
      <c r="K13" s="395" t="s">
        <v>222</v>
      </c>
      <c r="L13" s="412"/>
    </row>
    <row r="14" spans="1:13" ht="15.75" thickBot="1" x14ac:dyDescent="0.3">
      <c r="A14" s="671"/>
      <c r="B14" s="336" t="s">
        <v>223</v>
      </c>
      <c r="C14" s="337">
        <f t="shared" ref="C14:H14" si="2">C12*C13</f>
        <v>0</v>
      </c>
      <c r="D14" s="337">
        <f t="shared" si="2"/>
        <v>0</v>
      </c>
      <c r="E14" s="337">
        <f>E12*E13</f>
        <v>0</v>
      </c>
      <c r="F14" s="337">
        <f t="shared" si="2"/>
        <v>0</v>
      </c>
      <c r="G14" s="337">
        <f t="shared" si="2"/>
        <v>0</v>
      </c>
      <c r="H14" s="337">
        <f t="shared" si="2"/>
        <v>0</v>
      </c>
      <c r="I14" s="337">
        <f>SUM(C14:H14)</f>
        <v>0</v>
      </c>
      <c r="J14" s="336" t="s">
        <v>224</v>
      </c>
      <c r="K14" s="538" t="s">
        <v>225</v>
      </c>
      <c r="L14" s="539" t="s">
        <v>226</v>
      </c>
    </row>
    <row r="15" spans="1:13" s="260" customFormat="1" ht="15.75" thickBot="1" x14ac:dyDescent="0.3">
      <c r="A15" s="671"/>
      <c r="B15" s="342" t="s">
        <v>227</v>
      </c>
      <c r="C15" s="343"/>
      <c r="D15" s="344"/>
      <c r="E15" s="344"/>
      <c r="F15" s="344"/>
      <c r="G15" s="344"/>
      <c r="H15" s="344"/>
      <c r="I15" s="344"/>
      <c r="J15" s="345" t="s">
        <v>228</v>
      </c>
      <c r="K15" s="346" t="s">
        <v>229</v>
      </c>
      <c r="L15" s="347"/>
    </row>
    <row r="16" spans="1:13" ht="15.75" thickBot="1" x14ac:dyDescent="0.3">
      <c r="A16" s="671"/>
      <c r="B16" s="333" t="s">
        <v>230</v>
      </c>
      <c r="C16" s="334"/>
      <c r="D16" s="335"/>
      <c r="E16" s="335"/>
      <c r="F16" s="335"/>
      <c r="G16" s="335"/>
      <c r="H16" s="335"/>
      <c r="I16" s="335"/>
      <c r="J16" s="187" t="s">
        <v>231</v>
      </c>
      <c r="K16" s="395" t="s">
        <v>232</v>
      </c>
      <c r="L16" s="412"/>
    </row>
    <row r="17" spans="1:12" ht="15.75" thickBot="1" x14ac:dyDescent="0.3">
      <c r="A17" s="671"/>
      <c r="B17" s="336" t="s">
        <v>233</v>
      </c>
      <c r="C17" s="337">
        <f t="shared" ref="C17:H17" si="3">C15*C16</f>
        <v>0</v>
      </c>
      <c r="D17" s="337">
        <f t="shared" si="3"/>
        <v>0</v>
      </c>
      <c r="E17" s="337">
        <f>E15*E16</f>
        <v>0</v>
      </c>
      <c r="F17" s="337">
        <f t="shared" si="3"/>
        <v>0</v>
      </c>
      <c r="G17" s="337">
        <f t="shared" si="3"/>
        <v>0</v>
      </c>
      <c r="H17" s="337">
        <f t="shared" si="3"/>
        <v>0</v>
      </c>
      <c r="I17" s="337">
        <f>SUM(C17:H17)</f>
        <v>0</v>
      </c>
      <c r="J17" s="336" t="s">
        <v>234</v>
      </c>
      <c r="K17" s="538" t="s">
        <v>235</v>
      </c>
      <c r="L17" s="539" t="s">
        <v>236</v>
      </c>
    </row>
    <row r="18" spans="1:12" ht="15.75" thickBot="1" x14ac:dyDescent="0.3">
      <c r="A18" s="310"/>
      <c r="B18" s="336" t="s">
        <v>64</v>
      </c>
      <c r="C18" s="337">
        <f t="shared" ref="C18:H18" si="4">C17+C14+C11+C8</f>
        <v>750</v>
      </c>
      <c r="D18" s="337">
        <f t="shared" si="4"/>
        <v>1150</v>
      </c>
      <c r="E18" s="337">
        <f>E17+E14+E11+E8</f>
        <v>600</v>
      </c>
      <c r="F18" s="337">
        <f t="shared" si="4"/>
        <v>500</v>
      </c>
      <c r="G18" s="337">
        <f t="shared" si="4"/>
        <v>750</v>
      </c>
      <c r="H18" s="337">
        <f t="shared" si="4"/>
        <v>0</v>
      </c>
      <c r="I18" s="337">
        <f>SUM(C18:H18)</f>
        <v>3750</v>
      </c>
      <c r="J18" s="336" t="s">
        <v>237</v>
      </c>
      <c r="K18" s="538" t="s">
        <v>238</v>
      </c>
      <c r="L18" s="539" t="s">
        <v>239</v>
      </c>
    </row>
    <row r="19" spans="1:12" ht="12" customHeight="1" thickBot="1" x14ac:dyDescent="0.3">
      <c r="A19" s="172"/>
      <c r="B19" s="172"/>
      <c r="C19" s="349"/>
      <c r="D19" s="4"/>
      <c r="E19" s="4"/>
      <c r="F19" s="4"/>
      <c r="G19" s="4"/>
      <c r="H19" s="4"/>
      <c r="I19" s="4"/>
      <c r="J19" s="172"/>
      <c r="K19" s="540"/>
      <c r="L19" s="541"/>
    </row>
    <row r="20" spans="1:12" ht="21.6" customHeight="1" thickBot="1" x14ac:dyDescent="0.3">
      <c r="A20" s="671" t="s">
        <v>240</v>
      </c>
      <c r="B20" s="350" t="s">
        <v>241</v>
      </c>
      <c r="C20" s="351">
        <f>'1 - Data Source Estimates'!E22</f>
        <v>5</v>
      </c>
      <c r="D20" s="352">
        <f>'1 - Data Source Estimates'!H22</f>
        <v>4.5</v>
      </c>
      <c r="E20" s="353">
        <v>30</v>
      </c>
      <c r="F20" s="352">
        <f>'1 - Data Source Estimates'!K22</f>
        <v>0.25</v>
      </c>
      <c r="G20" s="353">
        <v>8</v>
      </c>
      <c r="H20" s="354"/>
      <c r="I20" s="352">
        <f>SUM(C20:H20)</f>
        <v>47.75</v>
      </c>
      <c r="J20" s="336" t="s">
        <v>242</v>
      </c>
      <c r="K20" s="538" t="s">
        <v>243</v>
      </c>
      <c r="L20" s="539" t="s">
        <v>244</v>
      </c>
    </row>
    <row r="21" spans="1:12" ht="19.149999999999999" customHeight="1" thickBot="1" x14ac:dyDescent="0.3">
      <c r="A21" s="671"/>
      <c r="B21" s="333" t="s">
        <v>245</v>
      </c>
      <c r="C21" s="355"/>
      <c r="D21" s="356"/>
      <c r="E21" s="356"/>
      <c r="F21" s="356"/>
      <c r="G21" s="356"/>
      <c r="H21" s="356"/>
      <c r="I21" s="355">
        <f>SUM(C21:H21)</f>
        <v>0</v>
      </c>
      <c r="J21" s="333" t="s">
        <v>246</v>
      </c>
      <c r="K21" s="395" t="s">
        <v>247</v>
      </c>
      <c r="L21" s="412"/>
    </row>
    <row r="22" spans="1:12" ht="21.6" customHeight="1" thickBot="1" x14ac:dyDescent="0.3">
      <c r="A22" s="671"/>
      <c r="B22" s="333" t="s">
        <v>248</v>
      </c>
      <c r="C22" s="355"/>
      <c r="D22" s="356"/>
      <c r="E22" s="356"/>
      <c r="F22" s="356"/>
      <c r="G22" s="356"/>
      <c r="H22" s="356"/>
      <c r="I22" s="355">
        <f>SUM(C22:H22)</f>
        <v>0</v>
      </c>
      <c r="J22" s="333" t="s">
        <v>249</v>
      </c>
      <c r="K22" s="395" t="s">
        <v>250</v>
      </c>
      <c r="L22" s="412"/>
    </row>
    <row r="23" spans="1:12" ht="27.6" customHeight="1" thickBot="1" x14ac:dyDescent="0.3">
      <c r="A23" s="671"/>
      <c r="B23" s="350" t="s">
        <v>251</v>
      </c>
      <c r="C23" s="357">
        <f t="shared" ref="C23:H23" si="5">C21*C22</f>
        <v>0</v>
      </c>
      <c r="D23" s="357">
        <f t="shared" si="5"/>
        <v>0</v>
      </c>
      <c r="E23" s="357">
        <f>E21*E22</f>
        <v>0</v>
      </c>
      <c r="F23" s="357">
        <f t="shared" si="5"/>
        <v>0</v>
      </c>
      <c r="G23" s="357">
        <f t="shared" si="5"/>
        <v>0</v>
      </c>
      <c r="H23" s="357">
        <f t="shared" si="5"/>
        <v>0</v>
      </c>
      <c r="I23" s="357">
        <f>SUM(C23:H23)</f>
        <v>0</v>
      </c>
      <c r="J23" s="336" t="s">
        <v>252</v>
      </c>
      <c r="K23" s="538" t="s">
        <v>253</v>
      </c>
      <c r="L23" s="539" t="s">
        <v>254</v>
      </c>
    </row>
    <row r="24" spans="1:12" ht="15.75" thickBot="1" x14ac:dyDescent="0.3">
      <c r="A24" s="407"/>
      <c r="B24" s="336" t="s">
        <v>65</v>
      </c>
      <c r="C24" s="351">
        <f t="shared" ref="C24:H24" si="6">C23+C20</f>
        <v>5</v>
      </c>
      <c r="D24" s="351">
        <f t="shared" si="6"/>
        <v>4.5</v>
      </c>
      <c r="E24" s="351">
        <f>E23+E20</f>
        <v>30</v>
      </c>
      <c r="F24" s="357">
        <f t="shared" si="6"/>
        <v>0.25</v>
      </c>
      <c r="G24" s="351">
        <f t="shared" si="6"/>
        <v>8</v>
      </c>
      <c r="H24" s="351">
        <f t="shared" si="6"/>
        <v>0</v>
      </c>
      <c r="I24" s="351">
        <f>SUM(C24:H24)</f>
        <v>47.75</v>
      </c>
      <c r="J24" s="336" t="s">
        <v>255</v>
      </c>
      <c r="K24" s="538" t="s">
        <v>256</v>
      </c>
      <c r="L24" s="539" t="s">
        <v>257</v>
      </c>
    </row>
    <row r="25" spans="1:12" ht="15.75" thickBot="1" x14ac:dyDescent="0.3">
      <c r="A25" s="172"/>
      <c r="B25" s="358"/>
      <c r="C25" s="349"/>
      <c r="D25" s="4"/>
      <c r="E25" s="4"/>
      <c r="F25" s="4"/>
      <c r="G25" s="4"/>
      <c r="H25" s="4"/>
      <c r="I25" s="4"/>
      <c r="J25" s="172"/>
      <c r="K25" s="540"/>
      <c r="L25" s="541"/>
    </row>
    <row r="26" spans="1:12" ht="60.75" thickBot="1" x14ac:dyDescent="0.3">
      <c r="A26" s="710" t="s">
        <v>22</v>
      </c>
      <c r="B26" s="408" t="s">
        <v>258</v>
      </c>
      <c r="C26" s="359"/>
      <c r="D26" s="360"/>
      <c r="E26" s="360"/>
      <c r="F26" s="360"/>
      <c r="G26" s="360"/>
      <c r="H26" s="360"/>
      <c r="I26" s="360"/>
      <c r="J26" s="361"/>
      <c r="K26" s="542"/>
      <c r="L26" s="543"/>
    </row>
    <row r="27" spans="1:12" ht="15.75" thickBot="1" x14ac:dyDescent="0.3">
      <c r="A27" s="711"/>
      <c r="B27" s="362" t="s">
        <v>259</v>
      </c>
      <c r="C27" s="338">
        <f>C24</f>
        <v>5</v>
      </c>
      <c r="D27" s="338">
        <f>D24</f>
        <v>4.5</v>
      </c>
      <c r="E27" s="338">
        <v>30</v>
      </c>
      <c r="F27" s="355">
        <f>F24</f>
        <v>0.25</v>
      </c>
      <c r="G27" s="338">
        <v>8</v>
      </c>
      <c r="H27" s="338">
        <f>H24</f>
        <v>0</v>
      </c>
      <c r="I27" s="338">
        <f>SUM(C27:H27)</f>
        <v>47.75</v>
      </c>
      <c r="J27" s="187" t="s">
        <v>260</v>
      </c>
      <c r="K27" s="395" t="s">
        <v>256</v>
      </c>
      <c r="L27" s="412" t="s">
        <v>256</v>
      </c>
    </row>
    <row r="28" spans="1:12" ht="15.75" thickBot="1" x14ac:dyDescent="0.3">
      <c r="A28" s="711"/>
      <c r="B28" s="362" t="s">
        <v>261</v>
      </c>
      <c r="C28" s="363">
        <v>0.2</v>
      </c>
      <c r="D28" s="363">
        <v>0.65</v>
      </c>
      <c r="E28" s="363">
        <v>0.25</v>
      </c>
      <c r="F28" s="363">
        <v>0.12</v>
      </c>
      <c r="G28" s="363">
        <v>0.7</v>
      </c>
      <c r="H28" s="364"/>
      <c r="I28" s="364"/>
      <c r="J28" s="187" t="s">
        <v>262</v>
      </c>
      <c r="K28" s="395" t="s">
        <v>263</v>
      </c>
      <c r="L28" s="412"/>
    </row>
    <row r="29" spans="1:12" ht="15.75" thickBot="1" x14ac:dyDescent="0.3">
      <c r="A29" s="711"/>
      <c r="B29" s="365" t="s">
        <v>264</v>
      </c>
      <c r="C29" s="366">
        <f t="shared" ref="C29:H29" si="7">C27*(1-C28)</f>
        <v>4</v>
      </c>
      <c r="D29" s="366">
        <f t="shared" si="7"/>
        <v>1.575</v>
      </c>
      <c r="E29" s="367">
        <f>E27*(1-E28)</f>
        <v>22.5</v>
      </c>
      <c r="F29" s="366">
        <f t="shared" si="7"/>
        <v>0.22</v>
      </c>
      <c r="G29" s="366">
        <f t="shared" si="7"/>
        <v>2.4000000000000004</v>
      </c>
      <c r="H29" s="366">
        <f t="shared" si="7"/>
        <v>0</v>
      </c>
      <c r="I29" s="366">
        <f>SUM(C29:H29)</f>
        <v>30.695</v>
      </c>
      <c r="J29" s="336" t="s">
        <v>265</v>
      </c>
      <c r="K29" s="538" t="s">
        <v>266</v>
      </c>
      <c r="L29" s="539" t="s">
        <v>267</v>
      </c>
    </row>
    <row r="30" spans="1:12" ht="15.75" thickBot="1" x14ac:dyDescent="0.3">
      <c r="A30" s="711"/>
      <c r="B30" s="368" t="s">
        <v>268</v>
      </c>
      <c r="C30" s="369">
        <v>1.5</v>
      </c>
      <c r="D30" s="369">
        <v>4</v>
      </c>
      <c r="E30" s="369">
        <v>2</v>
      </c>
      <c r="F30" s="369">
        <v>6</v>
      </c>
      <c r="G30" s="369">
        <v>2</v>
      </c>
      <c r="H30" s="370"/>
      <c r="I30" s="370">
        <f>SUM(C30:H30)</f>
        <v>15.5</v>
      </c>
      <c r="J30" s="187" t="s">
        <v>269</v>
      </c>
      <c r="K30" s="395" t="s">
        <v>270</v>
      </c>
      <c r="L30" s="412"/>
    </row>
    <row r="31" spans="1:12" ht="15.75" thickBot="1" x14ac:dyDescent="0.3">
      <c r="A31" s="712"/>
      <c r="B31" s="368" t="s">
        <v>271</v>
      </c>
      <c r="C31" s="334">
        <v>300</v>
      </c>
      <c r="D31" s="334">
        <v>300</v>
      </c>
      <c r="E31" s="334">
        <v>300</v>
      </c>
      <c r="F31" s="334">
        <v>300</v>
      </c>
      <c r="G31" s="334">
        <v>300</v>
      </c>
      <c r="H31" s="371"/>
      <c r="I31" s="371"/>
      <c r="J31" s="187" t="s">
        <v>272</v>
      </c>
      <c r="K31" s="395" t="s">
        <v>273</v>
      </c>
      <c r="L31" s="412"/>
    </row>
    <row r="32" spans="1:12" ht="15.75" thickBot="1" x14ac:dyDescent="0.3">
      <c r="A32" s="409"/>
      <c r="B32" s="336" t="s">
        <v>66</v>
      </c>
      <c r="C32" s="337">
        <f t="shared" ref="C32:H32" si="8">C30*C31</f>
        <v>450</v>
      </c>
      <c r="D32" s="337">
        <f t="shared" si="8"/>
        <v>1200</v>
      </c>
      <c r="E32" s="337">
        <f>E30*E31</f>
        <v>600</v>
      </c>
      <c r="F32" s="337">
        <f t="shared" si="8"/>
        <v>1800</v>
      </c>
      <c r="G32" s="337">
        <f t="shared" si="8"/>
        <v>600</v>
      </c>
      <c r="H32" s="337">
        <f t="shared" si="8"/>
        <v>0</v>
      </c>
      <c r="I32" s="337">
        <f>SUM(C32:H32)</f>
        <v>4650</v>
      </c>
      <c r="J32" s="336" t="s">
        <v>274</v>
      </c>
      <c r="K32" s="538" t="s">
        <v>275</v>
      </c>
      <c r="L32" s="539" t="s">
        <v>276</v>
      </c>
    </row>
    <row r="33" spans="1:12" ht="15.75" thickBot="1" x14ac:dyDescent="0.3">
      <c r="A33" s="172"/>
      <c r="B33" s="372"/>
      <c r="C33" s="373"/>
      <c r="D33" s="374"/>
      <c r="E33" s="374"/>
      <c r="F33" s="374"/>
      <c r="G33" s="374"/>
      <c r="H33" s="374"/>
      <c r="I33" s="374"/>
      <c r="J33" s="375"/>
      <c r="K33" s="544"/>
      <c r="L33" s="541"/>
    </row>
    <row r="34" spans="1:12" ht="30.75" thickBot="1" x14ac:dyDescent="0.3">
      <c r="A34" s="671" t="s">
        <v>277</v>
      </c>
      <c r="B34" s="410" t="s">
        <v>278</v>
      </c>
      <c r="C34" s="359"/>
      <c r="D34" s="360"/>
      <c r="E34" s="360"/>
      <c r="F34" s="360"/>
      <c r="G34" s="360"/>
      <c r="H34" s="360"/>
      <c r="I34" s="360"/>
      <c r="J34" s="361"/>
      <c r="K34" s="542"/>
      <c r="L34" s="543"/>
    </row>
    <row r="35" spans="1:12" ht="15.75" thickBot="1" x14ac:dyDescent="0.3">
      <c r="A35" s="671"/>
      <c r="B35" s="187" t="s">
        <v>279</v>
      </c>
      <c r="C35" s="376">
        <v>2</v>
      </c>
      <c r="D35" s="363">
        <v>1.5</v>
      </c>
      <c r="E35" s="363">
        <v>1.5</v>
      </c>
      <c r="F35" s="363">
        <v>1.1200000000000001</v>
      </c>
      <c r="G35" s="363">
        <v>1.1499999999999999</v>
      </c>
      <c r="H35" s="377"/>
      <c r="I35" s="377"/>
      <c r="J35" s="187" t="s">
        <v>280</v>
      </c>
      <c r="K35" s="395" t="s">
        <v>281</v>
      </c>
      <c r="L35" s="412"/>
    </row>
    <row r="36" spans="1:12" ht="15.75" thickBot="1" x14ac:dyDescent="0.3">
      <c r="A36" s="671"/>
      <c r="B36" s="336" t="s">
        <v>282</v>
      </c>
      <c r="C36" s="357">
        <f t="shared" ref="C36:H36" si="9">C29*C35</f>
        <v>8</v>
      </c>
      <c r="D36" s="357">
        <f t="shared" si="9"/>
        <v>2.3624999999999998</v>
      </c>
      <c r="E36" s="357">
        <f>E29*E35</f>
        <v>33.75</v>
      </c>
      <c r="F36" s="357">
        <f t="shared" si="9"/>
        <v>0.24640000000000004</v>
      </c>
      <c r="G36" s="357">
        <f t="shared" si="9"/>
        <v>2.7600000000000002</v>
      </c>
      <c r="H36" s="357">
        <f t="shared" si="9"/>
        <v>0</v>
      </c>
      <c r="I36" s="357">
        <f>SUM(C36:H36)</f>
        <v>47.118899999999996</v>
      </c>
      <c r="J36" s="336" t="s">
        <v>283</v>
      </c>
      <c r="K36" s="538" t="s">
        <v>284</v>
      </c>
      <c r="L36" s="539" t="s">
        <v>285</v>
      </c>
    </row>
    <row r="37" spans="1:12" ht="15.75" thickBot="1" x14ac:dyDescent="0.3">
      <c r="A37" s="671"/>
      <c r="B37" s="187" t="s">
        <v>99</v>
      </c>
      <c r="C37" s="334">
        <v>25</v>
      </c>
      <c r="D37" s="334">
        <v>25</v>
      </c>
      <c r="E37" s="334">
        <v>25</v>
      </c>
      <c r="F37" s="334">
        <v>25</v>
      </c>
      <c r="G37" s="334">
        <v>25</v>
      </c>
      <c r="H37" s="335"/>
      <c r="I37" s="335"/>
      <c r="J37" s="187" t="s">
        <v>286</v>
      </c>
      <c r="K37" s="395" t="s">
        <v>287</v>
      </c>
      <c r="L37" s="412"/>
    </row>
    <row r="38" spans="1:12" ht="30.75" thickBot="1" x14ac:dyDescent="0.3">
      <c r="A38" s="671"/>
      <c r="B38" s="336" t="s">
        <v>67</v>
      </c>
      <c r="C38" s="337">
        <f t="shared" ref="C38:H38" si="10">C36*C37</f>
        <v>200</v>
      </c>
      <c r="D38" s="337">
        <f t="shared" si="10"/>
        <v>59.062499999999993</v>
      </c>
      <c r="E38" s="337">
        <f>E36*E37</f>
        <v>843.75</v>
      </c>
      <c r="F38" s="337">
        <f t="shared" si="10"/>
        <v>6.160000000000001</v>
      </c>
      <c r="G38" s="337">
        <f t="shared" si="10"/>
        <v>69</v>
      </c>
      <c r="H38" s="337">
        <f t="shared" si="10"/>
        <v>0</v>
      </c>
      <c r="I38" s="337">
        <f>SUM(C38:H38)</f>
        <v>1177.9725000000001</v>
      </c>
      <c r="J38" s="336" t="s">
        <v>288</v>
      </c>
      <c r="K38" s="538" t="s">
        <v>289</v>
      </c>
      <c r="L38" s="539" t="s">
        <v>290</v>
      </c>
    </row>
    <row r="39" spans="1:12" ht="15.75" thickBot="1" x14ac:dyDescent="0.3">
      <c r="A39" s="671"/>
      <c r="B39" s="187" t="s">
        <v>291</v>
      </c>
      <c r="C39" s="363">
        <v>0.2</v>
      </c>
      <c r="D39" s="363">
        <v>0.1</v>
      </c>
      <c r="E39" s="363">
        <v>0.55000000000000004</v>
      </c>
      <c r="F39" s="363">
        <v>0.12</v>
      </c>
      <c r="G39" s="363">
        <v>0.15</v>
      </c>
      <c r="H39" s="378"/>
      <c r="I39" s="378"/>
      <c r="J39" s="187" t="s">
        <v>292</v>
      </c>
      <c r="K39" s="395" t="s">
        <v>293</v>
      </c>
      <c r="L39" s="412"/>
    </row>
    <row r="40" spans="1:12" ht="15.75" thickBot="1" x14ac:dyDescent="0.3">
      <c r="A40" s="671"/>
      <c r="B40" s="336" t="s">
        <v>294</v>
      </c>
      <c r="C40" s="357">
        <f t="shared" ref="C40:H40" si="11">C36*(1-C39)</f>
        <v>6.4</v>
      </c>
      <c r="D40" s="357">
        <f t="shared" si="11"/>
        <v>2.1262499999999998</v>
      </c>
      <c r="E40" s="357">
        <f>E36*(1-E39)</f>
        <v>15.187499999999998</v>
      </c>
      <c r="F40" s="357">
        <f t="shared" si="11"/>
        <v>0.21683200000000002</v>
      </c>
      <c r="G40" s="357">
        <f t="shared" si="11"/>
        <v>2.3460000000000001</v>
      </c>
      <c r="H40" s="357">
        <f t="shared" si="11"/>
        <v>0</v>
      </c>
      <c r="I40" s="357">
        <f>SUM(C40:H40)</f>
        <v>26.276581999999998</v>
      </c>
      <c r="J40" s="336" t="s">
        <v>295</v>
      </c>
      <c r="K40" s="538" t="s">
        <v>296</v>
      </c>
      <c r="L40" s="539" t="s">
        <v>297</v>
      </c>
    </row>
    <row r="41" spans="1:12" ht="15.75" thickBot="1" x14ac:dyDescent="0.3">
      <c r="A41" s="671"/>
      <c r="B41" s="187" t="s">
        <v>298</v>
      </c>
      <c r="C41" s="363">
        <v>0.65</v>
      </c>
      <c r="D41" s="363">
        <v>0.8</v>
      </c>
      <c r="E41" s="363">
        <v>0.8</v>
      </c>
      <c r="F41" s="363">
        <v>0.45</v>
      </c>
      <c r="G41" s="363">
        <v>0.65</v>
      </c>
      <c r="H41" s="379"/>
      <c r="I41" s="379"/>
      <c r="J41" s="187" t="s">
        <v>299</v>
      </c>
      <c r="K41" s="395" t="s">
        <v>300</v>
      </c>
      <c r="L41" s="412"/>
    </row>
    <row r="42" spans="1:12" ht="15.75" thickBot="1" x14ac:dyDescent="0.3">
      <c r="A42" s="671"/>
      <c r="B42" s="336" t="s">
        <v>301</v>
      </c>
      <c r="C42" s="357">
        <f t="shared" ref="C42:H42" si="12">C40*(1-C41)</f>
        <v>2.2399999999999998</v>
      </c>
      <c r="D42" s="357">
        <f t="shared" si="12"/>
        <v>0.42524999999999985</v>
      </c>
      <c r="E42" s="357">
        <f>E40*(1-E41)</f>
        <v>3.0374999999999988</v>
      </c>
      <c r="F42" s="357">
        <f t="shared" si="12"/>
        <v>0.11925760000000002</v>
      </c>
      <c r="G42" s="357">
        <f t="shared" si="12"/>
        <v>0.82109999999999994</v>
      </c>
      <c r="H42" s="357">
        <f t="shared" si="12"/>
        <v>0</v>
      </c>
      <c r="I42" s="357">
        <f>SUM(C42:H42)</f>
        <v>6.6431075999999987</v>
      </c>
      <c r="J42" s="336" t="s">
        <v>302</v>
      </c>
      <c r="K42" s="538" t="s">
        <v>303</v>
      </c>
      <c r="L42" s="539" t="s">
        <v>304</v>
      </c>
    </row>
    <row r="43" spans="1:12" ht="15.75" thickBot="1" x14ac:dyDescent="0.3">
      <c r="A43" s="671"/>
      <c r="B43" s="187" t="s">
        <v>305</v>
      </c>
      <c r="C43" s="363">
        <v>0.4</v>
      </c>
      <c r="D43" s="363">
        <v>0.2</v>
      </c>
      <c r="E43" s="363">
        <v>0.2</v>
      </c>
      <c r="F43" s="363">
        <v>0</v>
      </c>
      <c r="G43" s="363">
        <v>0.2</v>
      </c>
      <c r="H43" s="379"/>
      <c r="I43" s="379"/>
      <c r="J43" s="187" t="s">
        <v>306</v>
      </c>
      <c r="K43" s="395" t="s">
        <v>307</v>
      </c>
      <c r="L43" s="412"/>
    </row>
    <row r="44" spans="1:12" ht="15.75" thickBot="1" x14ac:dyDescent="0.3">
      <c r="A44" s="671"/>
      <c r="B44" s="187" t="s">
        <v>308</v>
      </c>
      <c r="C44" s="380">
        <f t="shared" ref="C44:H44" si="13">C42*(1-C43)</f>
        <v>1.3439999999999999</v>
      </c>
      <c r="D44" s="380">
        <f t="shared" si="13"/>
        <v>0.34019999999999989</v>
      </c>
      <c r="E44" s="380">
        <f>E42*(1-E43)</f>
        <v>2.4299999999999993</v>
      </c>
      <c r="F44" s="380">
        <f t="shared" si="13"/>
        <v>0.11925760000000002</v>
      </c>
      <c r="G44" s="380">
        <f t="shared" si="13"/>
        <v>0.65688000000000002</v>
      </c>
      <c r="H44" s="380">
        <f t="shared" si="13"/>
        <v>0</v>
      </c>
      <c r="I44" s="380">
        <f>SUM(C44:H44)</f>
        <v>4.8903375999999987</v>
      </c>
      <c r="J44" s="336" t="s">
        <v>309</v>
      </c>
      <c r="K44" s="538" t="s">
        <v>310</v>
      </c>
      <c r="L44" s="539" t="s">
        <v>311</v>
      </c>
    </row>
    <row r="45" spans="1:12" ht="15.75" thickBot="1" x14ac:dyDescent="0.3">
      <c r="A45" s="671"/>
      <c r="B45" s="333" t="s">
        <v>312</v>
      </c>
      <c r="C45" s="334">
        <v>45</v>
      </c>
      <c r="D45" s="334">
        <v>45</v>
      </c>
      <c r="E45" s="334">
        <v>45</v>
      </c>
      <c r="F45" s="334">
        <v>45</v>
      </c>
      <c r="G45" s="334">
        <v>45</v>
      </c>
      <c r="H45" s="335"/>
      <c r="I45" s="335"/>
      <c r="J45" s="333" t="s">
        <v>313</v>
      </c>
      <c r="K45" s="395" t="s">
        <v>314</v>
      </c>
      <c r="L45" s="412"/>
    </row>
    <row r="46" spans="1:12" ht="15.75" thickBot="1" x14ac:dyDescent="0.3">
      <c r="A46" s="671"/>
      <c r="B46" s="336" t="s">
        <v>68</v>
      </c>
      <c r="C46" s="337">
        <f t="shared" ref="C46:H46" si="14">C45*C42</f>
        <v>100.79999999999998</v>
      </c>
      <c r="D46" s="337">
        <f t="shared" si="14"/>
        <v>19.136249999999993</v>
      </c>
      <c r="E46" s="337">
        <f>E45*E42</f>
        <v>136.68749999999994</v>
      </c>
      <c r="F46" s="337">
        <f t="shared" si="14"/>
        <v>5.3665920000000007</v>
      </c>
      <c r="G46" s="337">
        <f t="shared" si="14"/>
        <v>36.9495</v>
      </c>
      <c r="H46" s="337">
        <f t="shared" si="14"/>
        <v>0</v>
      </c>
      <c r="I46" s="337">
        <f>SUM(C46:H46)</f>
        <v>298.93984199999994</v>
      </c>
      <c r="J46" s="336" t="s">
        <v>315</v>
      </c>
      <c r="K46" s="538" t="s">
        <v>316</v>
      </c>
      <c r="L46" s="539" t="s">
        <v>317</v>
      </c>
    </row>
    <row r="47" spans="1:12" ht="15.75" thickBot="1" x14ac:dyDescent="0.3">
      <c r="A47" s="671"/>
      <c r="B47" s="336" t="s">
        <v>318</v>
      </c>
      <c r="C47" s="357">
        <f t="shared" ref="C47:H47" si="15">C44</f>
        <v>1.3439999999999999</v>
      </c>
      <c r="D47" s="357">
        <f t="shared" si="15"/>
        <v>0.34019999999999989</v>
      </c>
      <c r="E47" s="357">
        <f>E44</f>
        <v>2.4299999999999993</v>
      </c>
      <c r="F47" s="357">
        <f t="shared" si="15"/>
        <v>0.11925760000000002</v>
      </c>
      <c r="G47" s="357">
        <f t="shared" si="15"/>
        <v>0.65688000000000002</v>
      </c>
      <c r="H47" s="357">
        <f t="shared" si="15"/>
        <v>0</v>
      </c>
      <c r="I47" s="357">
        <f>SUM(C47:H47)</f>
        <v>4.8903375999999987</v>
      </c>
      <c r="J47" s="336" t="s">
        <v>319</v>
      </c>
      <c r="K47" s="538" t="s">
        <v>310</v>
      </c>
      <c r="L47" s="539" t="s">
        <v>310</v>
      </c>
    </row>
    <row r="48" spans="1:12" ht="15.75" thickBot="1" x14ac:dyDescent="0.3">
      <c r="A48" s="671"/>
      <c r="B48" s="187" t="s">
        <v>320</v>
      </c>
      <c r="C48" s="334">
        <v>51</v>
      </c>
      <c r="D48" s="334">
        <v>51</v>
      </c>
      <c r="E48" s="334">
        <v>51</v>
      </c>
      <c r="F48" s="334">
        <v>51</v>
      </c>
      <c r="G48" s="334">
        <v>51</v>
      </c>
      <c r="H48" s="335"/>
      <c r="I48" s="335"/>
      <c r="J48" s="187" t="s">
        <v>321</v>
      </c>
      <c r="K48" s="395" t="s">
        <v>322</v>
      </c>
      <c r="L48" s="412"/>
    </row>
    <row r="49" spans="1:12" ht="15.75" thickBot="1" x14ac:dyDescent="0.3">
      <c r="A49" s="672"/>
      <c r="B49" s="336" t="s">
        <v>69</v>
      </c>
      <c r="C49" s="337">
        <f t="shared" ref="C49:H49" si="16">C47*C48</f>
        <v>68.543999999999997</v>
      </c>
      <c r="D49" s="337">
        <f t="shared" si="16"/>
        <v>17.350199999999994</v>
      </c>
      <c r="E49" s="337">
        <f>E47*E48</f>
        <v>123.92999999999996</v>
      </c>
      <c r="F49" s="337">
        <f t="shared" si="16"/>
        <v>6.0821376000000011</v>
      </c>
      <c r="G49" s="337">
        <f t="shared" si="16"/>
        <v>33.500880000000002</v>
      </c>
      <c r="H49" s="337">
        <f t="shared" si="16"/>
        <v>0</v>
      </c>
      <c r="I49" s="337">
        <f>SUM(C49:H49)</f>
        <v>249.40721759999997</v>
      </c>
      <c r="J49" s="336" t="s">
        <v>323</v>
      </c>
      <c r="K49" s="538" t="s">
        <v>324</v>
      </c>
      <c r="L49" s="539" t="s">
        <v>325</v>
      </c>
    </row>
    <row r="50" spans="1:12" ht="15.75" thickBot="1" x14ac:dyDescent="0.3">
      <c r="A50" s="411"/>
      <c r="B50" s="336" t="s">
        <v>70</v>
      </c>
      <c r="C50" s="337">
        <f t="shared" ref="C50:H50" si="17">C49+C46+C38</f>
        <v>369.34399999999999</v>
      </c>
      <c r="D50" s="337">
        <f t="shared" si="17"/>
        <v>95.548949999999991</v>
      </c>
      <c r="E50" s="337">
        <f>E49+E46+E38</f>
        <v>1104.3674999999998</v>
      </c>
      <c r="F50" s="337">
        <f t="shared" si="17"/>
        <v>17.608729600000004</v>
      </c>
      <c r="G50" s="337">
        <f t="shared" si="17"/>
        <v>139.45038</v>
      </c>
      <c r="H50" s="337">
        <f t="shared" si="17"/>
        <v>0</v>
      </c>
      <c r="I50" s="337">
        <f>SUM(C50:H50)</f>
        <v>1726.3195595999998</v>
      </c>
      <c r="J50" s="336" t="s">
        <v>326</v>
      </c>
      <c r="K50" s="538" t="s">
        <v>327</v>
      </c>
      <c r="L50" s="539" t="s">
        <v>328</v>
      </c>
    </row>
    <row r="51" spans="1:12" ht="15.75" thickBot="1" x14ac:dyDescent="0.3">
      <c r="A51" s="172"/>
      <c r="B51" s="177"/>
      <c r="C51" s="349"/>
      <c r="D51" s="4"/>
      <c r="E51" s="4"/>
      <c r="F51" s="4"/>
      <c r="G51" s="4"/>
      <c r="H51" s="4"/>
      <c r="I51" s="4"/>
      <c r="J51" s="172"/>
      <c r="K51" s="540"/>
      <c r="L51" s="541"/>
    </row>
    <row r="52" spans="1:12" ht="45.75" thickBot="1" x14ac:dyDescent="0.3">
      <c r="A52" s="713" t="s">
        <v>24</v>
      </c>
      <c r="B52" s="410" t="s">
        <v>329</v>
      </c>
      <c r="C52" s="359"/>
      <c r="D52" s="360"/>
      <c r="E52" s="360"/>
      <c r="F52" s="360"/>
      <c r="G52" s="360"/>
      <c r="H52" s="360"/>
      <c r="I52" s="360"/>
      <c r="J52" s="361"/>
      <c r="K52" s="542"/>
      <c r="L52" s="543"/>
    </row>
    <row r="53" spans="1:12" ht="15.75" thickBot="1" x14ac:dyDescent="0.3">
      <c r="A53" s="713"/>
      <c r="B53" s="333" t="s">
        <v>330</v>
      </c>
      <c r="C53" s="331">
        <v>24</v>
      </c>
      <c r="D53" s="331">
        <v>24</v>
      </c>
      <c r="E53" s="331">
        <v>24</v>
      </c>
      <c r="F53" s="331">
        <v>24</v>
      </c>
      <c r="G53" s="331">
        <v>24</v>
      </c>
      <c r="H53" s="332">
        <v>24</v>
      </c>
      <c r="I53" s="332">
        <v>24</v>
      </c>
      <c r="J53" s="187" t="s">
        <v>331</v>
      </c>
      <c r="K53" s="395" t="s">
        <v>332</v>
      </c>
      <c r="L53" s="412"/>
    </row>
    <row r="54" spans="1:12" ht="15.75" thickBot="1" x14ac:dyDescent="0.3">
      <c r="A54" s="713"/>
      <c r="B54" s="336" t="s">
        <v>333</v>
      </c>
      <c r="C54" s="357">
        <f t="shared" ref="C54:H54" si="18">C47</f>
        <v>1.3439999999999999</v>
      </c>
      <c r="D54" s="357">
        <f t="shared" si="18"/>
        <v>0.34019999999999989</v>
      </c>
      <c r="E54" s="357">
        <f>E47</f>
        <v>2.4299999999999993</v>
      </c>
      <c r="F54" s="357">
        <f t="shared" si="18"/>
        <v>0.11925760000000002</v>
      </c>
      <c r="G54" s="357">
        <f t="shared" si="18"/>
        <v>0.65688000000000002</v>
      </c>
      <c r="H54" s="357">
        <f t="shared" si="18"/>
        <v>0</v>
      </c>
      <c r="I54" s="357">
        <f>SUM(C54:H54)</f>
        <v>4.8903375999999987</v>
      </c>
      <c r="J54" s="336" t="s">
        <v>334</v>
      </c>
      <c r="K54" s="538" t="s">
        <v>310</v>
      </c>
      <c r="L54" s="539" t="s">
        <v>310</v>
      </c>
    </row>
    <row r="55" spans="1:12" ht="15.75" thickBot="1" x14ac:dyDescent="0.3">
      <c r="A55" s="713"/>
      <c r="B55" s="187" t="s">
        <v>335</v>
      </c>
      <c r="C55" s="334">
        <v>13</v>
      </c>
      <c r="D55" s="334">
        <v>13</v>
      </c>
      <c r="E55" s="334">
        <v>13</v>
      </c>
      <c r="F55" s="334">
        <v>13</v>
      </c>
      <c r="G55" s="334">
        <v>13</v>
      </c>
      <c r="H55" s="335"/>
      <c r="I55" s="335">
        <v>13</v>
      </c>
      <c r="J55" s="187" t="s">
        <v>336</v>
      </c>
      <c r="K55" s="395" t="s">
        <v>337</v>
      </c>
      <c r="L55" s="412"/>
    </row>
    <row r="56" spans="1:12" ht="15.75" thickBot="1" x14ac:dyDescent="0.3">
      <c r="A56" s="713"/>
      <c r="B56" s="350" t="s">
        <v>338</v>
      </c>
      <c r="C56" s="337">
        <f t="shared" ref="C56:H56" si="19">C53*C54*C55</f>
        <v>419.32799999999997</v>
      </c>
      <c r="D56" s="337">
        <f t="shared" si="19"/>
        <v>106.14239999999997</v>
      </c>
      <c r="E56" s="337">
        <f>E53*E54*E55</f>
        <v>758.15999999999974</v>
      </c>
      <c r="F56" s="337">
        <f t="shared" si="19"/>
        <v>37.208371200000009</v>
      </c>
      <c r="G56" s="337">
        <f t="shared" si="19"/>
        <v>204.94656000000001</v>
      </c>
      <c r="H56" s="337">
        <f t="shared" si="19"/>
        <v>0</v>
      </c>
      <c r="I56" s="337">
        <f>SUM(C56:H56)</f>
        <v>1525.7853311999997</v>
      </c>
      <c r="J56" s="336" t="s">
        <v>339</v>
      </c>
      <c r="K56" s="538" t="s">
        <v>340</v>
      </c>
      <c r="L56" s="539" t="s">
        <v>341</v>
      </c>
    </row>
    <row r="57" spans="1:12" ht="15.75" thickBot="1" x14ac:dyDescent="0.3">
      <c r="A57" s="713"/>
      <c r="B57" s="381" t="s">
        <v>342</v>
      </c>
      <c r="C57" s="382"/>
      <c r="D57" s="382"/>
      <c r="E57" s="382"/>
      <c r="F57" s="382"/>
      <c r="G57" s="382"/>
      <c r="H57" s="383"/>
      <c r="I57" s="338">
        <v>1</v>
      </c>
      <c r="J57" s="187" t="s">
        <v>343</v>
      </c>
      <c r="K57" s="395" t="s">
        <v>344</v>
      </c>
      <c r="L57" s="412"/>
    </row>
    <row r="58" spans="1:12" ht="15.75" thickBot="1" x14ac:dyDescent="0.3">
      <c r="A58" s="713"/>
      <c r="B58" s="381" t="s">
        <v>345</v>
      </c>
      <c r="C58" s="384"/>
      <c r="D58" s="384"/>
      <c r="E58" s="384"/>
      <c r="F58" s="384"/>
      <c r="G58" s="384"/>
      <c r="H58" s="385"/>
      <c r="I58" s="334">
        <v>85</v>
      </c>
      <c r="J58" s="187" t="s">
        <v>346</v>
      </c>
      <c r="K58" s="395" t="s">
        <v>347</v>
      </c>
      <c r="L58" s="412"/>
    </row>
    <row r="59" spans="1:12" ht="15.75" thickBot="1" x14ac:dyDescent="0.3">
      <c r="A59" s="714"/>
      <c r="B59" s="381" t="s">
        <v>348</v>
      </c>
      <c r="C59" s="384"/>
      <c r="D59" s="384"/>
      <c r="E59" s="384"/>
      <c r="F59" s="384"/>
      <c r="G59" s="384"/>
      <c r="H59" s="384"/>
      <c r="I59" s="386">
        <f>I57*I58*I53</f>
        <v>2040</v>
      </c>
      <c r="J59" s="336" t="s">
        <v>349</v>
      </c>
      <c r="K59" s="538" t="s">
        <v>350</v>
      </c>
      <c r="L59" s="539" t="s">
        <v>351</v>
      </c>
    </row>
    <row r="60" spans="1:12" ht="15.75" thickBot="1" x14ac:dyDescent="0.3">
      <c r="A60" s="348"/>
      <c r="B60" s="336" t="s">
        <v>352</v>
      </c>
      <c r="C60" s="337">
        <f>I59/I147</f>
        <v>408</v>
      </c>
      <c r="D60" s="337">
        <f>I59/I147</f>
        <v>408</v>
      </c>
      <c r="E60" s="337">
        <f>I59/I147</f>
        <v>408</v>
      </c>
      <c r="F60" s="337">
        <f>I59/I147</f>
        <v>408</v>
      </c>
      <c r="G60" s="337">
        <f>I59/I147</f>
        <v>408</v>
      </c>
      <c r="H60" s="337"/>
      <c r="I60" s="337">
        <f>SUM(C60:H60)</f>
        <v>2040</v>
      </c>
      <c r="J60" s="336" t="s">
        <v>353</v>
      </c>
      <c r="K60" s="538" t="s">
        <v>350</v>
      </c>
      <c r="L60" s="539"/>
    </row>
    <row r="61" spans="1:12" ht="15.75" thickBot="1" x14ac:dyDescent="0.3">
      <c r="A61" s="411"/>
      <c r="B61" s="336" t="s">
        <v>73</v>
      </c>
      <c r="C61" s="337">
        <f t="shared" ref="C61:H61" si="20">C60+C56</f>
        <v>827.32799999999997</v>
      </c>
      <c r="D61" s="337">
        <f t="shared" si="20"/>
        <v>514.14239999999995</v>
      </c>
      <c r="E61" s="337">
        <f>E60+E56</f>
        <v>1166.1599999999999</v>
      </c>
      <c r="F61" s="337">
        <f t="shared" si="20"/>
        <v>445.20837119999999</v>
      </c>
      <c r="G61" s="337">
        <f t="shared" si="20"/>
        <v>612.94655999999998</v>
      </c>
      <c r="H61" s="337">
        <f t="shared" si="20"/>
        <v>0</v>
      </c>
      <c r="I61" s="337">
        <f>SUM(C61:H61)</f>
        <v>3565.7853311999997</v>
      </c>
      <c r="J61" s="336" t="s">
        <v>354</v>
      </c>
      <c r="K61" s="538" t="s">
        <v>355</v>
      </c>
      <c r="L61" s="539" t="s">
        <v>356</v>
      </c>
    </row>
    <row r="62" spans="1:12" ht="15.75" thickBot="1" x14ac:dyDescent="0.3">
      <c r="A62" s="172"/>
      <c r="B62" s="172"/>
      <c r="C62" s="387"/>
      <c r="D62" s="388"/>
      <c r="E62" s="388"/>
      <c r="F62" s="388"/>
      <c r="G62" s="388"/>
      <c r="H62" s="4"/>
      <c r="I62" s="4"/>
      <c r="J62" s="389"/>
      <c r="K62" s="544"/>
      <c r="L62" s="541"/>
    </row>
    <row r="63" spans="1:12" ht="60.75" thickBot="1" x14ac:dyDescent="0.3">
      <c r="A63" s="671" t="s">
        <v>357</v>
      </c>
      <c r="B63" s="410" t="s">
        <v>358</v>
      </c>
      <c r="C63" s="359"/>
      <c r="D63" s="360"/>
      <c r="E63" s="360"/>
      <c r="F63" s="360"/>
      <c r="G63" s="360"/>
      <c r="H63" s="360"/>
      <c r="I63" s="360"/>
      <c r="J63" s="361"/>
      <c r="K63" s="542"/>
      <c r="L63" s="543"/>
    </row>
    <row r="64" spans="1:12" ht="15.75" thickBot="1" x14ac:dyDescent="0.3">
      <c r="A64" s="671"/>
      <c r="B64" s="187" t="s">
        <v>359</v>
      </c>
      <c r="C64" s="491">
        <v>6000</v>
      </c>
      <c r="D64" s="492">
        <v>4000</v>
      </c>
      <c r="E64" s="492">
        <v>4000</v>
      </c>
      <c r="F64" s="492">
        <v>8000</v>
      </c>
      <c r="G64" s="492">
        <v>8000</v>
      </c>
      <c r="H64" s="391"/>
      <c r="I64" s="391"/>
      <c r="J64" s="187" t="s">
        <v>360</v>
      </c>
      <c r="K64" s="395" t="s">
        <v>361</v>
      </c>
      <c r="L64" s="412"/>
    </row>
    <row r="65" spans="1:12" ht="15.75" thickBot="1" x14ac:dyDescent="0.3">
      <c r="A65" s="671"/>
      <c r="B65" s="336" t="s">
        <v>362</v>
      </c>
      <c r="C65" s="357">
        <f t="shared" ref="C65:H65" si="21">C47</f>
        <v>1.3439999999999999</v>
      </c>
      <c r="D65" s="357">
        <f t="shared" si="21"/>
        <v>0.34019999999999989</v>
      </c>
      <c r="E65" s="357">
        <f>E47</f>
        <v>2.4299999999999993</v>
      </c>
      <c r="F65" s="357">
        <f t="shared" si="21"/>
        <v>0.11925760000000002</v>
      </c>
      <c r="G65" s="357">
        <f t="shared" si="21"/>
        <v>0.65688000000000002</v>
      </c>
      <c r="H65" s="357">
        <f t="shared" si="21"/>
        <v>0</v>
      </c>
      <c r="I65" s="357">
        <f>SUM(C65:H65)</f>
        <v>4.8903375999999987</v>
      </c>
      <c r="J65" s="336" t="s">
        <v>363</v>
      </c>
      <c r="K65" s="538" t="s">
        <v>310</v>
      </c>
      <c r="L65" s="539" t="s">
        <v>364</v>
      </c>
    </row>
    <row r="66" spans="1:12" ht="15.75" thickBot="1" x14ac:dyDescent="0.3">
      <c r="A66" s="671"/>
      <c r="B66" s="336" t="s">
        <v>365</v>
      </c>
      <c r="C66" s="392">
        <f t="shared" ref="C66:H66" si="22">C64*C65</f>
        <v>8063.9999999999991</v>
      </c>
      <c r="D66" s="392">
        <f t="shared" si="22"/>
        <v>1360.7999999999995</v>
      </c>
      <c r="E66" s="392">
        <f>E64*E65</f>
        <v>9719.9999999999964</v>
      </c>
      <c r="F66" s="392">
        <f t="shared" si="22"/>
        <v>954.0608000000002</v>
      </c>
      <c r="G66" s="392">
        <f t="shared" si="22"/>
        <v>5255.04</v>
      </c>
      <c r="H66" s="392">
        <f t="shared" si="22"/>
        <v>0</v>
      </c>
      <c r="I66" s="433">
        <f>SUM(C66:H66)</f>
        <v>25353.900799999996</v>
      </c>
      <c r="J66" s="336" t="s">
        <v>366</v>
      </c>
      <c r="K66" s="538" t="s">
        <v>367</v>
      </c>
      <c r="L66" s="539" t="s">
        <v>368</v>
      </c>
    </row>
    <row r="67" spans="1:12" x14ac:dyDescent="0.25">
      <c r="A67" s="172"/>
      <c r="B67" s="172"/>
      <c r="C67" s="172"/>
      <c r="D67" s="172"/>
      <c r="E67" s="172"/>
      <c r="F67" s="172"/>
      <c r="G67" s="172"/>
      <c r="H67" s="172"/>
      <c r="I67" s="434"/>
      <c r="J67" s="172"/>
      <c r="K67" s="545"/>
      <c r="L67" s="546"/>
    </row>
    <row r="68" spans="1:12" ht="45" x14ac:dyDescent="0.25">
      <c r="A68" s="673" t="s">
        <v>369</v>
      </c>
      <c r="B68" s="467" t="s">
        <v>370</v>
      </c>
      <c r="C68" s="488">
        <f>C66</f>
        <v>8063.9999999999991</v>
      </c>
      <c r="D68" s="488">
        <f>D66</f>
        <v>1360.7999999999995</v>
      </c>
      <c r="E68" s="488">
        <f>E66</f>
        <v>9719.9999999999964</v>
      </c>
      <c r="F68" s="503"/>
      <c r="G68" s="432"/>
      <c r="H68" s="432"/>
      <c r="I68" s="435">
        <f>SUM(C66:E66)</f>
        <v>19144.799999999996</v>
      </c>
      <c r="J68" s="420" t="s">
        <v>371</v>
      </c>
      <c r="K68" s="547" t="s">
        <v>372</v>
      </c>
      <c r="L68" s="548"/>
    </row>
    <row r="69" spans="1:12" ht="30.75" thickBot="1" x14ac:dyDescent="0.3">
      <c r="A69" s="674"/>
      <c r="B69" s="487" t="s">
        <v>373</v>
      </c>
      <c r="C69" s="485">
        <f>C68/$I$68</f>
        <v>0.42121098157201958</v>
      </c>
      <c r="D69" s="445">
        <f>D68/$I$68</f>
        <v>7.1079353140278287E-2</v>
      </c>
      <c r="E69" s="445">
        <f>E68/$I$68</f>
        <v>0.50770966528770212</v>
      </c>
      <c r="F69" s="504"/>
      <c r="G69" s="446"/>
      <c r="H69" s="446"/>
      <c r="I69" s="419"/>
      <c r="J69" s="420" t="s">
        <v>374</v>
      </c>
      <c r="K69" s="547" t="s">
        <v>375</v>
      </c>
      <c r="L69" s="548" t="s">
        <v>376</v>
      </c>
    </row>
    <row r="70" spans="1:12" ht="29.45" customHeight="1" thickBot="1" x14ac:dyDescent="0.3">
      <c r="A70" s="674"/>
      <c r="B70" s="486" t="s">
        <v>377</v>
      </c>
      <c r="C70" s="663" t="s">
        <v>378</v>
      </c>
      <c r="D70" s="664"/>
      <c r="E70" s="664"/>
      <c r="F70" s="664"/>
      <c r="G70" s="664"/>
      <c r="H70" s="665"/>
      <c r="I70" s="430">
        <v>0.05</v>
      </c>
      <c r="J70" s="421" t="s">
        <v>379</v>
      </c>
      <c r="K70" s="547" t="s">
        <v>380</v>
      </c>
      <c r="L70" s="548"/>
    </row>
    <row r="71" spans="1:12" ht="15" customHeight="1" thickBot="1" x14ac:dyDescent="0.3">
      <c r="A71" s="674"/>
      <c r="B71" s="426" t="s">
        <v>381</v>
      </c>
      <c r="C71" s="666"/>
      <c r="D71" s="667"/>
      <c r="E71" s="667"/>
      <c r="F71" s="667"/>
      <c r="G71" s="667"/>
      <c r="H71" s="668"/>
      <c r="I71" s="437">
        <f>I68*I70</f>
        <v>957.23999999999978</v>
      </c>
      <c r="J71" s="420" t="s">
        <v>382</v>
      </c>
      <c r="K71" s="547" t="s">
        <v>383</v>
      </c>
      <c r="L71" s="549" t="s">
        <v>384</v>
      </c>
    </row>
    <row r="72" spans="1:12" ht="14.45" customHeight="1" x14ac:dyDescent="0.25">
      <c r="A72" s="674"/>
      <c r="B72" s="427" t="s">
        <v>385</v>
      </c>
      <c r="C72" s="666"/>
      <c r="D72" s="667"/>
      <c r="E72" s="667"/>
      <c r="F72" s="667"/>
      <c r="G72" s="667"/>
      <c r="H72" s="668"/>
      <c r="I72" s="437">
        <f>I68*(1-I70)</f>
        <v>18187.559999999994</v>
      </c>
      <c r="J72" s="420" t="s">
        <v>386</v>
      </c>
      <c r="K72" s="547" t="s">
        <v>387</v>
      </c>
      <c r="L72" s="548" t="s">
        <v>388</v>
      </c>
    </row>
    <row r="73" spans="1:12" ht="15" customHeight="1" thickBot="1" x14ac:dyDescent="0.3">
      <c r="A73" s="674"/>
      <c r="B73" s="427" t="s">
        <v>389</v>
      </c>
      <c r="C73" s="666"/>
      <c r="D73" s="667"/>
      <c r="E73" s="667"/>
      <c r="F73" s="667"/>
      <c r="G73" s="667"/>
      <c r="H73" s="668"/>
      <c r="I73" s="440">
        <f>SUM(C65:F65)*(1-I70)</f>
        <v>4.0217847199999985</v>
      </c>
      <c r="J73" s="420" t="s">
        <v>390</v>
      </c>
      <c r="K73" s="547" t="s">
        <v>391</v>
      </c>
      <c r="L73" s="550" t="s">
        <v>392</v>
      </c>
    </row>
    <row r="74" spans="1:12" ht="15" customHeight="1" thickBot="1" x14ac:dyDescent="0.3">
      <c r="A74" s="674"/>
      <c r="B74" s="448" t="s">
        <v>110</v>
      </c>
      <c r="C74" s="666"/>
      <c r="D74" s="667"/>
      <c r="E74" s="667"/>
      <c r="F74" s="667"/>
      <c r="G74" s="667"/>
      <c r="H74" s="668"/>
      <c r="I74" s="441">
        <v>0.02</v>
      </c>
      <c r="J74" s="421" t="s">
        <v>393</v>
      </c>
      <c r="K74" s="547" t="s">
        <v>394</v>
      </c>
      <c r="L74" s="549"/>
    </row>
    <row r="75" spans="1:12" ht="15" customHeight="1" thickBot="1" x14ac:dyDescent="0.3">
      <c r="A75" s="674"/>
      <c r="B75" s="448" t="s">
        <v>112</v>
      </c>
      <c r="C75" s="666"/>
      <c r="D75" s="667"/>
      <c r="E75" s="667"/>
      <c r="F75" s="667"/>
      <c r="G75" s="667"/>
      <c r="H75" s="668"/>
      <c r="I75" s="441">
        <v>0</v>
      </c>
      <c r="J75" s="421" t="s">
        <v>395</v>
      </c>
      <c r="K75" s="547" t="s">
        <v>396</v>
      </c>
      <c r="L75" s="549"/>
    </row>
    <row r="76" spans="1:12" ht="15" customHeight="1" thickBot="1" x14ac:dyDescent="0.3">
      <c r="A76" s="674"/>
      <c r="B76" s="448" t="s">
        <v>114</v>
      </c>
      <c r="C76" s="666"/>
      <c r="D76" s="667"/>
      <c r="E76" s="667"/>
      <c r="F76" s="667"/>
      <c r="G76" s="667"/>
      <c r="H76" s="668"/>
      <c r="I76" s="441">
        <v>300</v>
      </c>
      <c r="J76" s="421"/>
      <c r="K76" s="547" t="s">
        <v>397</v>
      </c>
      <c r="L76" s="549"/>
    </row>
    <row r="77" spans="1:12" ht="15" customHeight="1" thickBot="1" x14ac:dyDescent="0.3">
      <c r="A77" s="674"/>
      <c r="B77" s="455" t="s">
        <v>398</v>
      </c>
      <c r="C77" s="666"/>
      <c r="D77" s="667"/>
      <c r="E77" s="667"/>
      <c r="F77" s="667"/>
      <c r="G77" s="667"/>
      <c r="H77" s="668"/>
      <c r="I77" s="457">
        <v>15</v>
      </c>
      <c r="J77" s="458" t="s">
        <v>399</v>
      </c>
      <c r="K77" s="547" t="s">
        <v>400</v>
      </c>
    </row>
    <row r="78" spans="1:12" ht="48" customHeight="1" thickBot="1" x14ac:dyDescent="0.3">
      <c r="A78" s="674"/>
      <c r="B78" s="461" t="s">
        <v>401</v>
      </c>
      <c r="C78" s="666"/>
      <c r="D78" s="667"/>
      <c r="E78" s="667"/>
      <c r="F78" s="667"/>
      <c r="G78" s="667"/>
      <c r="H78" s="668"/>
      <c r="I78" s="462">
        <f>IF(I75=0,I72*I74,I73*I75)+(I76*I77)</f>
        <v>4863.7511999999997</v>
      </c>
      <c r="J78" s="460" t="s">
        <v>402</v>
      </c>
      <c r="K78" s="552" t="s">
        <v>403</v>
      </c>
      <c r="L78" s="553" t="s">
        <v>404</v>
      </c>
    </row>
    <row r="79" spans="1:12" ht="15" customHeight="1" thickBot="1" x14ac:dyDescent="0.3">
      <c r="A79" s="674"/>
      <c r="B79" s="456" t="s">
        <v>150</v>
      </c>
      <c r="C79" s="666"/>
      <c r="D79" s="667"/>
      <c r="E79" s="667"/>
      <c r="F79" s="667"/>
      <c r="G79" s="667"/>
      <c r="H79" s="668"/>
      <c r="I79" s="574">
        <v>0.4</v>
      </c>
      <c r="J79" s="459" t="s">
        <v>405</v>
      </c>
      <c r="K79" s="547" t="s">
        <v>406</v>
      </c>
      <c r="L79" s="549"/>
    </row>
    <row r="80" spans="1:12" ht="30.75" thickBot="1" x14ac:dyDescent="0.3">
      <c r="A80" s="674"/>
      <c r="B80" s="450" t="s">
        <v>152</v>
      </c>
      <c r="C80" s="666"/>
      <c r="D80" s="667"/>
      <c r="E80" s="667"/>
      <c r="F80" s="667"/>
      <c r="G80" s="667"/>
      <c r="H80" s="668"/>
      <c r="I80" s="442">
        <v>0.75</v>
      </c>
      <c r="J80" s="421" t="s">
        <v>407</v>
      </c>
      <c r="K80" s="547" t="s">
        <v>408</v>
      </c>
      <c r="L80" s="549"/>
    </row>
    <row r="81" spans="1:12" ht="30.75" thickBot="1" x14ac:dyDescent="0.3">
      <c r="A81" s="674"/>
      <c r="B81" s="450" t="s">
        <v>154</v>
      </c>
      <c r="C81" s="666"/>
      <c r="D81" s="667"/>
      <c r="E81" s="667"/>
      <c r="F81" s="667"/>
      <c r="G81" s="667"/>
      <c r="H81" s="668"/>
      <c r="I81" s="430">
        <v>0.66659999999999997</v>
      </c>
      <c r="J81" s="421" t="s">
        <v>409</v>
      </c>
      <c r="K81" s="547" t="s">
        <v>410</v>
      </c>
      <c r="L81" s="549"/>
    </row>
    <row r="82" spans="1:12" ht="15" customHeight="1" thickBot="1" x14ac:dyDescent="0.3">
      <c r="A82" s="674"/>
      <c r="B82" s="450" t="s">
        <v>411</v>
      </c>
      <c r="C82" s="666"/>
      <c r="D82" s="667"/>
      <c r="E82" s="667"/>
      <c r="F82" s="667"/>
      <c r="G82" s="667"/>
      <c r="H82" s="668"/>
      <c r="I82" s="529">
        <v>384</v>
      </c>
      <c r="J82" s="421" t="s">
        <v>412</v>
      </c>
      <c r="K82" s="547" t="s">
        <v>413</v>
      </c>
      <c r="L82" s="549"/>
    </row>
    <row r="83" spans="1:12" ht="60.75" thickBot="1" x14ac:dyDescent="0.3">
      <c r="A83" s="674"/>
      <c r="B83" s="427" t="s">
        <v>156</v>
      </c>
      <c r="C83" s="666"/>
      <c r="D83" s="667"/>
      <c r="E83" s="667"/>
      <c r="F83" s="667"/>
      <c r="G83" s="667"/>
      <c r="H83" s="668"/>
      <c r="I83" s="443">
        <f>IF(((I82*((1-I79)/I79)))&lt;=10000,(I82+(I82*((1-I79)/I79))),10000)</f>
        <v>959.99999999999989</v>
      </c>
      <c r="J83" s="420" t="s">
        <v>414</v>
      </c>
      <c r="K83" s="554" t="s">
        <v>415</v>
      </c>
      <c r="L83" s="554" t="s">
        <v>416</v>
      </c>
    </row>
    <row r="84" spans="1:12" ht="15" customHeight="1" thickBot="1" x14ac:dyDescent="0.3">
      <c r="A84" s="674"/>
      <c r="B84" s="450" t="s">
        <v>158</v>
      </c>
      <c r="C84" s="666"/>
      <c r="D84" s="667"/>
      <c r="E84" s="667"/>
      <c r="F84" s="667"/>
      <c r="G84" s="667"/>
      <c r="H84" s="668"/>
      <c r="I84" s="449">
        <v>3000</v>
      </c>
      <c r="J84" s="421" t="s">
        <v>417</v>
      </c>
      <c r="K84" s="555" t="s">
        <v>418</v>
      </c>
      <c r="L84" s="556"/>
    </row>
    <row r="85" spans="1:12" ht="14.45" customHeight="1" x14ac:dyDescent="0.25">
      <c r="A85" s="674"/>
      <c r="B85" s="452" t="s">
        <v>160</v>
      </c>
      <c r="C85" s="666"/>
      <c r="D85" s="667"/>
      <c r="E85" s="667"/>
      <c r="F85" s="667"/>
      <c r="G85" s="667"/>
      <c r="H85" s="668"/>
      <c r="I85" s="451">
        <v>500</v>
      </c>
      <c r="J85" s="421" t="s">
        <v>419</v>
      </c>
      <c r="K85" s="547" t="s">
        <v>420</v>
      </c>
      <c r="L85" s="557"/>
    </row>
    <row r="86" spans="1:12" ht="30" x14ac:dyDescent="0.25">
      <c r="A86" s="674"/>
      <c r="B86" s="448" t="s">
        <v>116</v>
      </c>
      <c r="C86" s="666"/>
      <c r="D86" s="667"/>
      <c r="E86" s="667"/>
      <c r="F86" s="667"/>
      <c r="G86" s="667"/>
      <c r="H86" s="668"/>
      <c r="I86" s="444">
        <v>300</v>
      </c>
      <c r="J86" s="422" t="s">
        <v>421</v>
      </c>
      <c r="K86" s="547" t="s">
        <v>422</v>
      </c>
      <c r="L86" s="548"/>
    </row>
    <row r="87" spans="1:12" ht="30.75" thickBot="1" x14ac:dyDescent="0.3">
      <c r="A87" s="674"/>
      <c r="B87" s="463" t="s">
        <v>163</v>
      </c>
      <c r="C87" s="666"/>
      <c r="D87" s="667"/>
      <c r="E87" s="667"/>
      <c r="F87" s="667"/>
      <c r="G87" s="667"/>
      <c r="H87" s="668"/>
      <c r="I87" s="466">
        <v>45</v>
      </c>
      <c r="J87" s="467" t="s">
        <v>164</v>
      </c>
      <c r="K87" s="555" t="s">
        <v>423</v>
      </c>
      <c r="L87" s="558"/>
    </row>
    <row r="88" spans="1:12" ht="14.45" customHeight="1" x14ac:dyDescent="0.25">
      <c r="A88" s="674"/>
      <c r="B88" s="465" t="s">
        <v>424</v>
      </c>
      <c r="C88" s="669"/>
      <c r="D88" s="670"/>
      <c r="E88" s="670"/>
      <c r="F88" s="667"/>
      <c r="G88" s="667"/>
      <c r="H88" s="668"/>
      <c r="I88" s="469">
        <f>I86*(SUM(I83:I85)/I87)</f>
        <v>29733.333333333336</v>
      </c>
      <c r="J88" s="470"/>
      <c r="K88" s="559" t="s">
        <v>425</v>
      </c>
      <c r="L88" s="560" t="s">
        <v>426</v>
      </c>
    </row>
    <row r="89" spans="1:12" ht="15" customHeight="1" thickBot="1" x14ac:dyDescent="0.3">
      <c r="A89" s="674"/>
      <c r="B89" s="532" t="s">
        <v>427</v>
      </c>
      <c r="C89" s="533">
        <f>C69*I89</f>
        <v>14572.671935815471</v>
      </c>
      <c r="D89" s="533">
        <f>D69*I89</f>
        <v>2459.1383891688602</v>
      </c>
      <c r="E89" s="533">
        <f>E69*I89</f>
        <v>17565.274208349005</v>
      </c>
      <c r="F89" s="531"/>
      <c r="G89" s="531"/>
      <c r="H89" s="531"/>
      <c r="I89" s="536">
        <f>SUM(I88,I78)</f>
        <v>34597.084533333335</v>
      </c>
      <c r="J89" s="471"/>
      <c r="K89" s="552" t="s">
        <v>428</v>
      </c>
      <c r="L89" s="560" t="s">
        <v>429</v>
      </c>
    </row>
    <row r="90" spans="1:12" x14ac:dyDescent="0.25">
      <c r="A90" s="674"/>
      <c r="B90" s="464" t="s">
        <v>430</v>
      </c>
      <c r="C90" s="489">
        <f>$I$90*C69</f>
        <v>3447.7047704770471</v>
      </c>
      <c r="D90" s="447">
        <f>$I$90*D69</f>
        <v>581.80018001800147</v>
      </c>
      <c r="E90" s="535">
        <f>$I$90*E69</f>
        <v>4155.7155715571544</v>
      </c>
      <c r="F90" s="534"/>
      <c r="G90" s="514"/>
      <c r="H90" s="514"/>
      <c r="I90" s="537">
        <f>(I72*I79*I80)/I81</f>
        <v>8185.2205220522028</v>
      </c>
      <c r="J90" s="468" t="s">
        <v>431</v>
      </c>
      <c r="K90" s="561" t="s">
        <v>432</v>
      </c>
      <c r="L90" s="560" t="s">
        <v>433</v>
      </c>
    </row>
    <row r="91" spans="1:12" ht="30" x14ac:dyDescent="0.25">
      <c r="A91" s="674"/>
      <c r="B91" s="438" t="s">
        <v>165</v>
      </c>
      <c r="C91" s="428">
        <v>1.3</v>
      </c>
      <c r="D91" s="428">
        <v>1.3</v>
      </c>
      <c r="E91" s="505">
        <v>1.3</v>
      </c>
      <c r="F91" s="510"/>
      <c r="G91" s="514"/>
      <c r="H91" s="515"/>
      <c r="I91" s="527">
        <f>SUM(C92:F92)/SUM(C90:F90)</f>
        <v>1.3</v>
      </c>
      <c r="J91" s="423" t="s">
        <v>434</v>
      </c>
      <c r="K91" s="547" t="s">
        <v>435</v>
      </c>
      <c r="L91" s="562"/>
    </row>
    <row r="92" spans="1:12" ht="26.45" customHeight="1" x14ac:dyDescent="0.25">
      <c r="A92" s="674"/>
      <c r="B92" s="420" t="s">
        <v>436</v>
      </c>
      <c r="C92" s="435">
        <f>$C$91*C90</f>
        <v>4482.0162016201612</v>
      </c>
      <c r="D92" s="435">
        <f>D91*D90</f>
        <v>756.34023402340199</v>
      </c>
      <c r="E92" s="506">
        <f>E91*E90</f>
        <v>5402.4302430243006</v>
      </c>
      <c r="F92" s="511"/>
      <c r="G92" s="514"/>
      <c r="H92" s="515"/>
      <c r="I92" s="437">
        <f>SUM(C92:F92)</f>
        <v>10640.786678667864</v>
      </c>
      <c r="J92" s="418" t="s">
        <v>437</v>
      </c>
      <c r="K92" s="561" t="s">
        <v>438</v>
      </c>
      <c r="L92" s="563"/>
    </row>
    <row r="93" spans="1:12" ht="26.45" customHeight="1" x14ac:dyDescent="0.25">
      <c r="A93" s="674"/>
      <c r="B93" s="438" t="s">
        <v>439</v>
      </c>
      <c r="C93" s="430">
        <v>0.1</v>
      </c>
      <c r="D93" s="430">
        <v>0.1</v>
      </c>
      <c r="E93" s="507">
        <v>0.1</v>
      </c>
      <c r="F93" s="512"/>
      <c r="G93" s="514"/>
      <c r="H93" s="515"/>
      <c r="I93" s="430">
        <v>0.1</v>
      </c>
      <c r="J93" s="421" t="s">
        <v>168</v>
      </c>
      <c r="K93" s="564" t="s">
        <v>440</v>
      </c>
      <c r="L93" s="565"/>
    </row>
    <row r="94" spans="1:12" ht="26.45" customHeight="1" x14ac:dyDescent="0.25">
      <c r="A94" s="674"/>
      <c r="B94" s="420" t="s">
        <v>441</v>
      </c>
      <c r="C94" s="429">
        <f>C92*C93</f>
        <v>448.20162016201613</v>
      </c>
      <c r="D94" s="429">
        <f>D92*D93</f>
        <v>75.634023402340205</v>
      </c>
      <c r="E94" s="508">
        <f>E92*E93</f>
        <v>540.24302430243006</v>
      </c>
      <c r="F94" s="513"/>
      <c r="G94" s="514"/>
      <c r="H94" s="515"/>
      <c r="I94" s="437">
        <f>I92*I93</f>
        <v>1064.0786678667864</v>
      </c>
      <c r="J94" s="418" t="s">
        <v>442</v>
      </c>
      <c r="K94" s="547" t="s">
        <v>443</v>
      </c>
      <c r="L94" s="530" t="s">
        <v>444</v>
      </c>
    </row>
    <row r="95" spans="1:12" ht="26.45" customHeight="1" x14ac:dyDescent="0.25">
      <c r="A95" s="674"/>
      <c r="B95" s="420" t="s">
        <v>445</v>
      </c>
      <c r="C95" s="437">
        <f>C92*(1-C$93)</f>
        <v>4033.8145814581453</v>
      </c>
      <c r="D95" s="437">
        <f>D92*(1-D$93)</f>
        <v>680.70621062106181</v>
      </c>
      <c r="E95" s="519">
        <f>E92*(1-E$93)</f>
        <v>4862.1872187218705</v>
      </c>
      <c r="F95" s="509"/>
      <c r="G95" s="514"/>
      <c r="H95" s="514"/>
      <c r="I95" s="522">
        <f>I92*(1-I$93)</f>
        <v>9576.7080108010778</v>
      </c>
      <c r="J95" s="418" t="s">
        <v>446</v>
      </c>
      <c r="K95" s="547" t="s">
        <v>447</v>
      </c>
      <c r="L95" s="530" t="s">
        <v>448</v>
      </c>
    </row>
    <row r="96" spans="1:12" ht="30.6" customHeight="1" x14ac:dyDescent="0.25">
      <c r="A96" s="674"/>
      <c r="B96" s="438" t="s">
        <v>449</v>
      </c>
      <c r="C96" s="495"/>
      <c r="D96" s="496"/>
      <c r="E96" s="496"/>
      <c r="F96" s="516"/>
      <c r="G96" s="516"/>
      <c r="H96" s="516"/>
      <c r="I96" s="523">
        <v>0.9</v>
      </c>
      <c r="J96" s="524" t="s">
        <v>450</v>
      </c>
      <c r="K96" s="547" t="s">
        <v>451</v>
      </c>
      <c r="L96" s="530"/>
    </row>
    <row r="97" spans="1:12" ht="26.45" customHeight="1" x14ac:dyDescent="0.25">
      <c r="A97" s="674"/>
      <c r="B97" s="420" t="s">
        <v>452</v>
      </c>
      <c r="C97" s="425">
        <f>$I$97*C69</f>
        <v>362.87999999999994</v>
      </c>
      <c r="D97" s="425">
        <f>$I$97*D69</f>
        <v>61.235999999999976</v>
      </c>
      <c r="E97" s="520">
        <f>$I$97*E69</f>
        <v>437.39999999999992</v>
      </c>
      <c r="F97" s="518"/>
      <c r="G97" s="675"/>
      <c r="H97" s="676"/>
      <c r="I97" s="431">
        <f>(I71*I96)</f>
        <v>861.51599999999985</v>
      </c>
      <c r="J97" s="418" t="s">
        <v>453</v>
      </c>
      <c r="K97" s="547" t="s">
        <v>454</v>
      </c>
      <c r="L97" s="530" t="s">
        <v>455</v>
      </c>
    </row>
    <row r="98" spans="1:12" ht="26.45" customHeight="1" x14ac:dyDescent="0.25">
      <c r="A98" s="674"/>
      <c r="B98" s="426" t="s">
        <v>456</v>
      </c>
      <c r="C98" s="497"/>
      <c r="D98" s="498"/>
      <c r="E98" s="499"/>
      <c r="F98" s="521">
        <f>F66</f>
        <v>954.0608000000002</v>
      </c>
      <c r="G98" s="517">
        <f>G66</f>
        <v>5255.04</v>
      </c>
      <c r="H98" s="517">
        <f>H66</f>
        <v>0</v>
      </c>
      <c r="I98" s="439">
        <f>F98+G98+H98</f>
        <v>6209.1008000000002</v>
      </c>
      <c r="J98" s="417" t="s">
        <v>457</v>
      </c>
      <c r="K98" s="530" t="s">
        <v>458</v>
      </c>
      <c r="L98" s="530" t="s">
        <v>459</v>
      </c>
    </row>
    <row r="99" spans="1:12" ht="15.75" thickBot="1" x14ac:dyDescent="0.3">
      <c r="A99" s="172"/>
      <c r="B99" s="172"/>
      <c r="C99" s="172"/>
      <c r="D99" s="172"/>
      <c r="E99" s="172"/>
      <c r="F99" s="172"/>
      <c r="G99" s="172"/>
      <c r="H99" s="172"/>
      <c r="I99" s="172"/>
      <c r="J99" s="172"/>
      <c r="K99" s="545"/>
      <c r="L99" s="546"/>
    </row>
    <row r="100" spans="1:12" ht="30.75" thickBot="1" x14ac:dyDescent="0.3">
      <c r="A100" s="671" t="s">
        <v>32</v>
      </c>
      <c r="B100" s="336" t="s">
        <v>460</v>
      </c>
      <c r="C100" s="424">
        <f>C97</f>
        <v>362.87999999999994</v>
      </c>
      <c r="D100" s="424">
        <f>D97</f>
        <v>61.235999999999976</v>
      </c>
      <c r="E100" s="424">
        <f>E97</f>
        <v>437.39999999999992</v>
      </c>
      <c r="F100" s="424">
        <f>F98</f>
        <v>954.0608000000002</v>
      </c>
      <c r="G100" s="436">
        <f>G98</f>
        <v>5255.04</v>
      </c>
      <c r="H100" s="436">
        <f>H98</f>
        <v>0</v>
      </c>
      <c r="I100" s="437">
        <f>SUM(C100:H100)</f>
        <v>7070.6167999999998</v>
      </c>
      <c r="J100" s="525" t="s">
        <v>461</v>
      </c>
      <c r="K100" s="538" t="s">
        <v>462</v>
      </c>
      <c r="L100" s="539" t="s">
        <v>463</v>
      </c>
    </row>
    <row r="101" spans="1:12" ht="30.75" thickBot="1" x14ac:dyDescent="0.3">
      <c r="A101" s="671"/>
      <c r="B101" s="187" t="s">
        <v>464</v>
      </c>
      <c r="C101" s="393">
        <v>50</v>
      </c>
      <c r="D101" s="394">
        <v>40</v>
      </c>
      <c r="E101" s="394">
        <v>40</v>
      </c>
      <c r="F101" s="394">
        <v>40</v>
      </c>
      <c r="G101" s="394">
        <v>50</v>
      </c>
      <c r="H101" s="390"/>
      <c r="I101" s="390">
        <f>SUM(C101:H101)/5</f>
        <v>44</v>
      </c>
      <c r="J101" s="333" t="s">
        <v>465</v>
      </c>
      <c r="K101" s="395" t="s">
        <v>466</v>
      </c>
      <c r="L101" s="412"/>
    </row>
    <row r="102" spans="1:12" ht="30.75" thickBot="1" x14ac:dyDescent="0.3">
      <c r="A102" s="671"/>
      <c r="B102" s="187" t="s">
        <v>467</v>
      </c>
      <c r="C102" s="334">
        <v>45</v>
      </c>
      <c r="D102" s="334">
        <v>45</v>
      </c>
      <c r="E102" s="334">
        <v>45</v>
      </c>
      <c r="F102" s="334">
        <v>45</v>
      </c>
      <c r="G102" s="334">
        <v>45</v>
      </c>
      <c r="H102" s="335"/>
      <c r="I102" s="335">
        <v>45</v>
      </c>
      <c r="J102" s="333" t="s">
        <v>468</v>
      </c>
      <c r="K102" s="395" t="s">
        <v>469</v>
      </c>
      <c r="L102" s="412"/>
    </row>
    <row r="103" spans="1:12" ht="15.75" thickBot="1" x14ac:dyDescent="0.3">
      <c r="A103" s="671"/>
      <c r="B103" s="396" t="s">
        <v>470</v>
      </c>
      <c r="C103" s="337">
        <f>(C100/C101)*C102</f>
        <v>326.59199999999998</v>
      </c>
      <c r="D103" s="337">
        <f>(D100/D101)*D102</f>
        <v>68.890499999999975</v>
      </c>
      <c r="E103" s="337">
        <f>(E100/E101)*E102</f>
        <v>492.07499999999993</v>
      </c>
      <c r="F103" s="337">
        <f>(F100/F101)*F102</f>
        <v>1073.3184000000001</v>
      </c>
      <c r="G103" s="337">
        <f>(G100/G101)*G102</f>
        <v>4729.5360000000001</v>
      </c>
      <c r="H103" s="337">
        <f>IF(H101,H100/H101,0)*H102</f>
        <v>0</v>
      </c>
      <c r="I103" s="337">
        <f>SUM(C103:H103)</f>
        <v>6690.4119000000001</v>
      </c>
      <c r="J103" s="336" t="s">
        <v>471</v>
      </c>
      <c r="K103" s="538" t="s">
        <v>472</v>
      </c>
      <c r="L103" s="539" t="s">
        <v>473</v>
      </c>
    </row>
    <row r="104" spans="1:12" ht="15.75" thickBot="1" x14ac:dyDescent="0.3">
      <c r="A104" s="671"/>
      <c r="B104" s="187" t="s">
        <v>474</v>
      </c>
      <c r="C104" s="363">
        <v>0.4</v>
      </c>
      <c r="D104" s="363">
        <v>0.4</v>
      </c>
      <c r="E104" s="363">
        <v>0.4</v>
      </c>
      <c r="F104" s="363">
        <v>0.4</v>
      </c>
      <c r="G104" s="363">
        <v>0.4</v>
      </c>
      <c r="H104" s="379"/>
      <c r="I104" s="378">
        <v>0.4</v>
      </c>
      <c r="J104" s="333" t="s">
        <v>475</v>
      </c>
      <c r="K104" s="395" t="s">
        <v>476</v>
      </c>
      <c r="L104" s="412"/>
    </row>
    <row r="105" spans="1:12" ht="30.75" thickBot="1" x14ac:dyDescent="0.3">
      <c r="A105" s="671"/>
      <c r="B105" s="336" t="s">
        <v>477</v>
      </c>
      <c r="C105" s="433">
        <f t="shared" ref="C105:H105" si="23">C100*C104</f>
        <v>145.15199999999999</v>
      </c>
      <c r="D105" s="433">
        <f t="shared" si="23"/>
        <v>24.494399999999992</v>
      </c>
      <c r="E105" s="433">
        <f>E100*E104</f>
        <v>174.95999999999998</v>
      </c>
      <c r="F105" s="433">
        <f t="shared" si="23"/>
        <v>381.62432000000013</v>
      </c>
      <c r="G105" s="433">
        <f t="shared" si="23"/>
        <v>2102.0160000000001</v>
      </c>
      <c r="H105" s="351">
        <f t="shared" si="23"/>
        <v>0</v>
      </c>
      <c r="I105" s="433">
        <f>SUM(C105:H105)</f>
        <v>2828.2467200000001</v>
      </c>
      <c r="J105" s="336" t="s">
        <v>478</v>
      </c>
      <c r="K105" s="538" t="s">
        <v>479</v>
      </c>
      <c r="L105" s="539" t="s">
        <v>480</v>
      </c>
    </row>
    <row r="106" spans="1:12" ht="30.75" thickBot="1" x14ac:dyDescent="0.3">
      <c r="A106" s="671"/>
      <c r="B106" s="333" t="s">
        <v>481</v>
      </c>
      <c r="C106" s="493">
        <f t="shared" ref="C106:H106" si="24">C105</f>
        <v>145.15199999999999</v>
      </c>
      <c r="D106" s="493">
        <f t="shared" si="24"/>
        <v>24.494399999999992</v>
      </c>
      <c r="E106" s="493">
        <f>E105</f>
        <v>174.95999999999998</v>
      </c>
      <c r="F106" s="493">
        <f t="shared" si="24"/>
        <v>381.62432000000013</v>
      </c>
      <c r="G106" s="493">
        <f t="shared" si="24"/>
        <v>2102.0160000000001</v>
      </c>
      <c r="H106" s="338">
        <f t="shared" si="24"/>
        <v>0</v>
      </c>
      <c r="I106" s="526">
        <f>SUM(C106:H106)</f>
        <v>2828.2467200000001</v>
      </c>
      <c r="J106" s="333" t="s">
        <v>482</v>
      </c>
      <c r="K106" s="395" t="s">
        <v>483</v>
      </c>
      <c r="L106" s="412"/>
    </row>
    <row r="107" spans="1:12" ht="15.75" thickBot="1" x14ac:dyDescent="0.3">
      <c r="A107" s="671"/>
      <c r="B107" s="187" t="s">
        <v>484</v>
      </c>
      <c r="C107" s="393">
        <v>45</v>
      </c>
      <c r="D107" s="394">
        <v>36</v>
      </c>
      <c r="E107" s="394">
        <v>36</v>
      </c>
      <c r="F107" s="394">
        <v>36</v>
      </c>
      <c r="G107" s="394">
        <v>45</v>
      </c>
      <c r="H107" s="390"/>
      <c r="I107" s="390">
        <f>SUM(C107:H107)/5</f>
        <v>39.6</v>
      </c>
      <c r="J107" s="187" t="s">
        <v>485</v>
      </c>
      <c r="K107" s="395" t="s">
        <v>486</v>
      </c>
      <c r="L107" s="412"/>
    </row>
    <row r="108" spans="1:12" ht="15.75" thickBot="1" x14ac:dyDescent="0.3">
      <c r="A108" s="671"/>
      <c r="B108" s="187" t="s">
        <v>487</v>
      </c>
      <c r="C108" s="334">
        <v>300</v>
      </c>
      <c r="D108" s="334">
        <v>300</v>
      </c>
      <c r="E108" s="334">
        <v>300</v>
      </c>
      <c r="F108" s="334">
        <v>300</v>
      </c>
      <c r="G108" s="334">
        <v>300</v>
      </c>
      <c r="H108" s="335"/>
      <c r="I108" s="335">
        <v>300</v>
      </c>
      <c r="J108" s="187" t="s">
        <v>488</v>
      </c>
      <c r="K108" s="395" t="s">
        <v>489</v>
      </c>
      <c r="L108" s="412"/>
    </row>
    <row r="109" spans="1:12" ht="15.75" thickBot="1" x14ac:dyDescent="0.3">
      <c r="A109" s="671"/>
      <c r="B109" s="350" t="s">
        <v>490</v>
      </c>
      <c r="C109" s="337">
        <f>(C106/C107)*C108</f>
        <v>967.67999999999984</v>
      </c>
      <c r="D109" s="337">
        <f>(D106/D107)*D108</f>
        <v>204.11999999999995</v>
      </c>
      <c r="E109" s="337">
        <f>(E106/E107)*E108</f>
        <v>1457.9999999999998</v>
      </c>
      <c r="F109" s="337">
        <f>(F106/F107)*F108</f>
        <v>3180.2026666666679</v>
      </c>
      <c r="G109" s="337">
        <f>(G106/G107)*G108</f>
        <v>14013.44</v>
      </c>
      <c r="H109" s="337">
        <f>IF(H107,H106/H107,0)*H108</f>
        <v>0</v>
      </c>
      <c r="I109" s="337">
        <f>SUM(C109:H109)</f>
        <v>19823.44266666667</v>
      </c>
      <c r="J109" s="336" t="s">
        <v>491</v>
      </c>
      <c r="K109" s="538" t="s">
        <v>492</v>
      </c>
      <c r="L109" s="539" t="s">
        <v>493</v>
      </c>
    </row>
    <row r="110" spans="1:12" ht="15.75" thickBot="1" x14ac:dyDescent="0.3">
      <c r="A110" s="671"/>
      <c r="B110" s="398" t="s">
        <v>494</v>
      </c>
      <c r="C110" s="363">
        <v>0.9</v>
      </c>
      <c r="D110" s="363">
        <v>0.9</v>
      </c>
      <c r="E110" s="363">
        <v>0.9</v>
      </c>
      <c r="F110" s="363">
        <v>0.9</v>
      </c>
      <c r="G110" s="363">
        <v>0.9</v>
      </c>
      <c r="H110" s="379"/>
      <c r="I110" s="379">
        <v>0.9</v>
      </c>
      <c r="J110" s="187" t="s">
        <v>495</v>
      </c>
      <c r="K110" s="395" t="s">
        <v>496</v>
      </c>
      <c r="L110" s="342"/>
    </row>
    <row r="111" spans="1:12" ht="30.75" thickBot="1" x14ac:dyDescent="0.3">
      <c r="A111" s="671"/>
      <c r="B111" s="333" t="s">
        <v>497</v>
      </c>
      <c r="C111" s="351">
        <f t="shared" ref="C111:H111" si="25">(C106*C110)</f>
        <v>130.63679999999999</v>
      </c>
      <c r="D111" s="351">
        <f t="shared" si="25"/>
        <v>22.044959999999993</v>
      </c>
      <c r="E111" s="351">
        <f>(E106*E110)</f>
        <v>157.464</v>
      </c>
      <c r="F111" s="351">
        <f t="shared" si="25"/>
        <v>343.4618880000001</v>
      </c>
      <c r="G111" s="351">
        <f t="shared" si="25"/>
        <v>1891.8144000000002</v>
      </c>
      <c r="H111" s="351">
        <f t="shared" si="25"/>
        <v>0</v>
      </c>
      <c r="I111" s="433">
        <f>SUM(C111:H111)</f>
        <v>2545.4220480000004</v>
      </c>
      <c r="J111" s="336" t="s">
        <v>498</v>
      </c>
      <c r="K111" s="538" t="s">
        <v>499</v>
      </c>
      <c r="L111" s="539" t="s">
        <v>500</v>
      </c>
    </row>
    <row r="112" spans="1:12" ht="30.75" thickBot="1" x14ac:dyDescent="0.3">
      <c r="A112" s="671"/>
      <c r="B112" s="187" t="s">
        <v>501</v>
      </c>
      <c r="C112" s="363">
        <v>0.1</v>
      </c>
      <c r="D112" s="363">
        <v>0.1</v>
      </c>
      <c r="E112" s="363">
        <v>0.1</v>
      </c>
      <c r="F112" s="363">
        <v>0.1</v>
      </c>
      <c r="G112" s="363">
        <v>0.1</v>
      </c>
      <c r="H112" s="363"/>
      <c r="I112" s="363">
        <v>0.1</v>
      </c>
      <c r="J112" s="333" t="s">
        <v>502</v>
      </c>
      <c r="K112" s="395" t="s">
        <v>503</v>
      </c>
      <c r="L112" s="412"/>
    </row>
    <row r="113" spans="1:12" ht="30.75" thickBot="1" x14ac:dyDescent="0.3">
      <c r="A113" s="671"/>
      <c r="B113" s="336" t="s">
        <v>504</v>
      </c>
      <c r="C113" s="351">
        <f t="shared" ref="C113:I113" si="26">(C111*C112)+C94</f>
        <v>461.2653001620161</v>
      </c>
      <c r="D113" s="351">
        <f t="shared" si="26"/>
        <v>77.838519402340211</v>
      </c>
      <c r="E113" s="351">
        <f>(E111*E112)+E94</f>
        <v>555.98942430243005</v>
      </c>
      <c r="F113" s="351">
        <f t="shared" si="26"/>
        <v>34.346188800000014</v>
      </c>
      <c r="G113" s="351">
        <f t="shared" si="26"/>
        <v>189.18144000000004</v>
      </c>
      <c r="H113" s="351">
        <f t="shared" si="26"/>
        <v>0</v>
      </c>
      <c r="I113" s="433">
        <f t="shared" si="26"/>
        <v>1318.6208726667865</v>
      </c>
      <c r="J113" s="336" t="s">
        <v>505</v>
      </c>
      <c r="K113" s="538" t="s">
        <v>506</v>
      </c>
      <c r="L113" s="539" t="s">
        <v>507</v>
      </c>
    </row>
    <row r="114" spans="1:12" ht="30.75" thickBot="1" x14ac:dyDescent="0.3">
      <c r="A114" s="671"/>
      <c r="B114" s="187" t="s">
        <v>508</v>
      </c>
      <c r="C114" s="393">
        <v>40</v>
      </c>
      <c r="D114" s="393">
        <v>40</v>
      </c>
      <c r="E114" s="393">
        <v>40</v>
      </c>
      <c r="F114" s="393">
        <v>40</v>
      </c>
      <c r="G114" s="393">
        <v>40</v>
      </c>
      <c r="H114" s="390"/>
      <c r="I114" s="390">
        <v>40</v>
      </c>
      <c r="J114" s="187" t="s">
        <v>485</v>
      </c>
      <c r="K114" s="395" t="s">
        <v>509</v>
      </c>
      <c r="L114" s="412"/>
    </row>
    <row r="115" spans="1:12" ht="30.75" thickBot="1" x14ac:dyDescent="0.3">
      <c r="A115" s="671"/>
      <c r="B115" s="187" t="s">
        <v>510</v>
      </c>
      <c r="C115" s="334">
        <v>300</v>
      </c>
      <c r="D115" s="334">
        <v>300</v>
      </c>
      <c r="E115" s="334">
        <v>300</v>
      </c>
      <c r="F115" s="334">
        <v>300</v>
      </c>
      <c r="G115" s="334">
        <v>300</v>
      </c>
      <c r="H115" s="335"/>
      <c r="I115" s="335">
        <v>300</v>
      </c>
      <c r="J115" s="187" t="s">
        <v>488</v>
      </c>
      <c r="K115" s="395" t="s">
        <v>511</v>
      </c>
      <c r="L115" s="412"/>
    </row>
    <row r="116" spans="1:12" ht="30.75" thickBot="1" x14ac:dyDescent="0.3">
      <c r="A116" s="671"/>
      <c r="B116" s="350" t="s">
        <v>512</v>
      </c>
      <c r="C116" s="337">
        <f>(C113/C114)*C115</f>
        <v>3459.489751215121</v>
      </c>
      <c r="D116" s="337">
        <f>(D113/D114)*D115</f>
        <v>583.78889551755151</v>
      </c>
      <c r="E116" s="337">
        <f>(E113/E114)*E115</f>
        <v>4169.9206822682254</v>
      </c>
      <c r="F116" s="337">
        <f>(F113/F114)*F115</f>
        <v>257.59641600000009</v>
      </c>
      <c r="G116" s="337">
        <f>(G113/G114)*G115</f>
        <v>1418.8608000000004</v>
      </c>
      <c r="H116" s="337">
        <f>IF(H114,H113/H114,0)*H115</f>
        <v>0</v>
      </c>
      <c r="I116" s="337">
        <f>SUM(C116:H116)</f>
        <v>9889.6565450008984</v>
      </c>
      <c r="J116" s="336" t="s">
        <v>513</v>
      </c>
      <c r="K116" s="566" t="s">
        <v>514</v>
      </c>
      <c r="L116" s="539" t="s">
        <v>515</v>
      </c>
    </row>
    <row r="117" spans="1:12" ht="15.75" thickBot="1" x14ac:dyDescent="0.3">
      <c r="A117" s="671"/>
      <c r="B117" s="187" t="s">
        <v>516</v>
      </c>
      <c r="C117" s="363">
        <v>0.2</v>
      </c>
      <c r="D117" s="363">
        <v>0.2</v>
      </c>
      <c r="E117" s="363">
        <v>0.2</v>
      </c>
      <c r="F117" s="363">
        <v>0.2</v>
      </c>
      <c r="G117" s="363">
        <v>0.2</v>
      </c>
      <c r="H117" s="379"/>
      <c r="I117" s="379">
        <v>0.2</v>
      </c>
      <c r="J117" s="333" t="s">
        <v>517</v>
      </c>
      <c r="K117" s="395" t="s">
        <v>518</v>
      </c>
      <c r="L117" s="412"/>
    </row>
    <row r="118" spans="1:12" ht="15.75" thickBot="1" x14ac:dyDescent="0.3">
      <c r="A118" s="671"/>
      <c r="B118" s="336" t="s">
        <v>519</v>
      </c>
      <c r="C118" s="351">
        <f t="shared" ref="C118:H118" si="27">C113*C117</f>
        <v>92.253060032403226</v>
      </c>
      <c r="D118" s="351">
        <f t="shared" si="27"/>
        <v>15.567703880468043</v>
      </c>
      <c r="E118" s="351">
        <f>E113*E117</f>
        <v>111.19788486048601</v>
      </c>
      <c r="F118" s="351">
        <f t="shared" si="27"/>
        <v>6.8692377600000034</v>
      </c>
      <c r="G118" s="351">
        <f t="shared" si="27"/>
        <v>37.83628800000001</v>
      </c>
      <c r="H118" s="351">
        <f t="shared" si="27"/>
        <v>0</v>
      </c>
      <c r="I118" s="351">
        <f>SUM(C118:H118)</f>
        <v>263.72417453335731</v>
      </c>
      <c r="J118" s="336" t="s">
        <v>520</v>
      </c>
      <c r="K118" s="538" t="s">
        <v>521</v>
      </c>
      <c r="L118" s="539" t="s">
        <v>522</v>
      </c>
    </row>
    <row r="119" spans="1:12" ht="15.75" thickBot="1" x14ac:dyDescent="0.3">
      <c r="A119" s="671"/>
      <c r="B119" s="187" t="s">
        <v>523</v>
      </c>
      <c r="C119" s="393">
        <v>20</v>
      </c>
      <c r="D119" s="393">
        <v>20</v>
      </c>
      <c r="E119" s="393">
        <v>20</v>
      </c>
      <c r="F119" s="393">
        <v>20</v>
      </c>
      <c r="G119" s="393">
        <v>20</v>
      </c>
      <c r="H119" s="390"/>
      <c r="I119" s="390">
        <v>20</v>
      </c>
      <c r="J119" s="187" t="s">
        <v>485</v>
      </c>
      <c r="K119" s="395" t="s">
        <v>524</v>
      </c>
      <c r="L119" s="412"/>
    </row>
    <row r="120" spans="1:12" ht="15.75" thickBot="1" x14ac:dyDescent="0.3">
      <c r="A120" s="671"/>
      <c r="B120" s="187" t="s">
        <v>525</v>
      </c>
      <c r="C120" s="334">
        <v>300</v>
      </c>
      <c r="D120" s="334">
        <v>300</v>
      </c>
      <c r="E120" s="334">
        <v>300</v>
      </c>
      <c r="F120" s="334">
        <v>300</v>
      </c>
      <c r="G120" s="334">
        <v>300</v>
      </c>
      <c r="H120" s="335"/>
      <c r="I120" s="335">
        <v>300</v>
      </c>
      <c r="J120" s="187" t="s">
        <v>488</v>
      </c>
      <c r="K120" s="395" t="s">
        <v>526</v>
      </c>
      <c r="L120" s="412"/>
    </row>
    <row r="121" spans="1:12" ht="15.75" thickBot="1" x14ac:dyDescent="0.3">
      <c r="A121" s="672"/>
      <c r="B121" s="350" t="s">
        <v>527</v>
      </c>
      <c r="C121" s="337">
        <f>(C118/C119)*C120</f>
        <v>1383.7959004860486</v>
      </c>
      <c r="D121" s="337">
        <f>(D118/D119)*D120</f>
        <v>233.51555820702063</v>
      </c>
      <c r="E121" s="337">
        <f>(E118/E119)*E120</f>
        <v>1667.9682729072904</v>
      </c>
      <c r="F121" s="337">
        <f>(F118/F119)*F120</f>
        <v>103.03856640000005</v>
      </c>
      <c r="G121" s="337">
        <f>(G118/G119)*G120</f>
        <v>567.5443200000002</v>
      </c>
      <c r="H121" s="337">
        <f>IF(H119,H118/H119,0)*H120</f>
        <v>0</v>
      </c>
      <c r="I121" s="337">
        <f>SUM(C121:H121)</f>
        <v>3955.8626180003603</v>
      </c>
      <c r="J121" s="336" t="s">
        <v>528</v>
      </c>
      <c r="K121" s="538" t="s">
        <v>529</v>
      </c>
      <c r="L121" s="539" t="s">
        <v>530</v>
      </c>
    </row>
    <row r="122" spans="1:12" ht="15.75" thickBot="1" x14ac:dyDescent="0.3">
      <c r="A122" s="413"/>
      <c r="B122" s="336" t="s">
        <v>79</v>
      </c>
      <c r="C122" s="337">
        <f t="shared" ref="C122:H122" si="28">C121+C116+C109+C103</f>
        <v>6137.5576517011696</v>
      </c>
      <c r="D122" s="337">
        <f t="shared" si="28"/>
        <v>1090.314953724572</v>
      </c>
      <c r="E122" s="337">
        <f>E121+E116+E109+E103</f>
        <v>7787.9639551755154</v>
      </c>
      <c r="F122" s="337">
        <f t="shared" si="28"/>
        <v>4614.1560490666679</v>
      </c>
      <c r="G122" s="337">
        <f t="shared" si="28"/>
        <v>20729.381120000002</v>
      </c>
      <c r="H122" s="337">
        <f t="shared" si="28"/>
        <v>0</v>
      </c>
      <c r="I122" s="337">
        <f>SUM(C122:H122)</f>
        <v>40359.373729667925</v>
      </c>
      <c r="J122" s="336" t="s">
        <v>531</v>
      </c>
      <c r="K122" s="566" t="s">
        <v>532</v>
      </c>
      <c r="L122" s="539" t="s">
        <v>533</v>
      </c>
    </row>
    <row r="123" spans="1:12" ht="15.75" thickBot="1" x14ac:dyDescent="0.3">
      <c r="A123" s="172"/>
      <c r="B123" s="399"/>
      <c r="C123" s="400"/>
      <c r="D123" s="4"/>
      <c r="E123" s="4"/>
      <c r="F123" s="4"/>
      <c r="G123" s="4"/>
      <c r="H123" s="4"/>
      <c r="I123" s="4"/>
      <c r="J123" s="401"/>
      <c r="K123" s="540"/>
      <c r="L123" s="541"/>
    </row>
    <row r="124" spans="1:12" ht="30.75" thickBot="1" x14ac:dyDescent="0.3">
      <c r="A124" s="671" t="s">
        <v>33</v>
      </c>
      <c r="B124" s="410" t="s">
        <v>534</v>
      </c>
      <c r="C124" s="359"/>
      <c r="D124" s="360"/>
      <c r="E124" s="360"/>
      <c r="F124" s="360"/>
      <c r="G124" s="360"/>
      <c r="H124" s="360"/>
      <c r="I124" s="360"/>
      <c r="J124" s="361"/>
      <c r="K124" s="567"/>
      <c r="L124" s="543"/>
    </row>
    <row r="125" spans="1:12" ht="30.75" thickBot="1" x14ac:dyDescent="0.3">
      <c r="A125" s="671"/>
      <c r="B125" s="187" t="s">
        <v>535</v>
      </c>
      <c r="C125" s="490">
        <f t="shared" ref="C125:H125" si="29">(C111*(1-C112)+C95)</f>
        <v>4151.3877014581449</v>
      </c>
      <c r="D125" s="490">
        <f t="shared" si="29"/>
        <v>700.54667462106181</v>
      </c>
      <c r="E125" s="490">
        <f>(E111*(1-E112)+E95)</f>
        <v>5003.9048187218705</v>
      </c>
      <c r="F125" s="490">
        <f t="shared" si="29"/>
        <v>309.11569920000011</v>
      </c>
      <c r="G125" s="490">
        <f t="shared" si="29"/>
        <v>1702.6329600000001</v>
      </c>
      <c r="H125" s="490">
        <f t="shared" si="29"/>
        <v>0</v>
      </c>
      <c r="I125" s="453">
        <f>SUM(C125:H125)</f>
        <v>11867.587854001078</v>
      </c>
      <c r="J125" s="336" t="s">
        <v>536</v>
      </c>
      <c r="K125" s="568" t="s">
        <v>537</v>
      </c>
      <c r="L125" s="412" t="s">
        <v>538</v>
      </c>
    </row>
    <row r="126" spans="1:12" ht="15.75" thickBot="1" x14ac:dyDescent="0.3">
      <c r="A126" s="671"/>
      <c r="B126" s="336" t="s">
        <v>539</v>
      </c>
      <c r="C126" s="357">
        <f>C125/C64</f>
        <v>0.69189795024302414</v>
      </c>
      <c r="D126" s="357">
        <f>D125/D64</f>
        <v>0.17513666865526545</v>
      </c>
      <c r="E126" s="357">
        <f>E125/E64</f>
        <v>1.2509762046804676</v>
      </c>
      <c r="F126" s="575">
        <f>F125/F64</f>
        <v>3.8639462400000012E-2</v>
      </c>
      <c r="G126" s="357">
        <f>G125/G64</f>
        <v>0.21282912000000001</v>
      </c>
      <c r="H126" s="357">
        <f>H65</f>
        <v>0</v>
      </c>
      <c r="I126" s="357">
        <f>SUM(C126:H126)</f>
        <v>2.3694794059787569</v>
      </c>
      <c r="J126" s="336" t="s">
        <v>540</v>
      </c>
      <c r="K126" s="538" t="s">
        <v>541</v>
      </c>
      <c r="L126" s="539" t="s">
        <v>542</v>
      </c>
    </row>
    <row r="127" spans="1:12" ht="15.75" thickBot="1" x14ac:dyDescent="0.3">
      <c r="A127" s="671"/>
      <c r="B127" s="333" t="s">
        <v>543</v>
      </c>
      <c r="C127" s="334">
        <v>192</v>
      </c>
      <c r="D127" s="334">
        <v>192</v>
      </c>
      <c r="E127" s="334">
        <v>192</v>
      </c>
      <c r="F127" s="334">
        <v>192</v>
      </c>
      <c r="G127" s="334">
        <v>192</v>
      </c>
      <c r="H127" s="335"/>
      <c r="I127" s="335">
        <v>192</v>
      </c>
      <c r="J127" s="187" t="s">
        <v>544</v>
      </c>
      <c r="K127" s="395" t="s">
        <v>545</v>
      </c>
      <c r="L127" s="412"/>
    </row>
    <row r="128" spans="1:12" ht="15.75" thickBot="1" x14ac:dyDescent="0.3">
      <c r="A128" s="671"/>
      <c r="B128" s="350" t="s">
        <v>546</v>
      </c>
      <c r="C128" s="337">
        <f t="shared" ref="C128:H128" si="30">C127*C126</f>
        <v>132.84440644666063</v>
      </c>
      <c r="D128" s="337">
        <f t="shared" si="30"/>
        <v>33.626240381810966</v>
      </c>
      <c r="E128" s="337">
        <f>E127*E126</f>
        <v>240.18743129864976</v>
      </c>
      <c r="F128" s="337">
        <f t="shared" si="30"/>
        <v>7.4187767808000018</v>
      </c>
      <c r="G128" s="337">
        <f t="shared" si="30"/>
        <v>40.863191040000004</v>
      </c>
      <c r="H128" s="337">
        <f t="shared" si="30"/>
        <v>0</v>
      </c>
      <c r="I128" s="337">
        <f>SUM(C128:H128)</f>
        <v>454.94004594792136</v>
      </c>
      <c r="J128" s="336" t="s">
        <v>547</v>
      </c>
      <c r="K128" s="538" t="s">
        <v>548</v>
      </c>
      <c r="L128" s="539" t="s">
        <v>549</v>
      </c>
    </row>
    <row r="129" spans="1:12" ht="15.75" thickBot="1" x14ac:dyDescent="0.3">
      <c r="A129" s="671"/>
      <c r="B129" s="187" t="s">
        <v>550</v>
      </c>
      <c r="C129" s="355">
        <v>1</v>
      </c>
      <c r="D129" s="355">
        <v>1</v>
      </c>
      <c r="E129" s="355">
        <v>1</v>
      </c>
      <c r="F129" s="355">
        <v>1</v>
      </c>
      <c r="G129" s="355">
        <v>1</v>
      </c>
      <c r="H129" s="397"/>
      <c r="I129" s="397">
        <f>SUM(C129:H129)</f>
        <v>5</v>
      </c>
      <c r="J129" s="187" t="s">
        <v>551</v>
      </c>
      <c r="K129" s="395" t="s">
        <v>552</v>
      </c>
      <c r="L129" s="412"/>
    </row>
    <row r="130" spans="1:12" ht="15.75" thickBot="1" x14ac:dyDescent="0.3">
      <c r="A130" s="671"/>
      <c r="B130" s="187" t="s">
        <v>553</v>
      </c>
      <c r="C130" s="334">
        <v>150</v>
      </c>
      <c r="D130" s="334">
        <v>150</v>
      </c>
      <c r="E130" s="334">
        <v>150</v>
      </c>
      <c r="F130" s="334">
        <v>150</v>
      </c>
      <c r="G130" s="334">
        <v>150</v>
      </c>
      <c r="H130" s="335"/>
      <c r="I130" s="335">
        <v>150</v>
      </c>
      <c r="J130" s="187" t="s">
        <v>554</v>
      </c>
      <c r="K130" s="395" t="s">
        <v>555</v>
      </c>
      <c r="L130" s="412"/>
    </row>
    <row r="131" spans="1:12" ht="15.75" thickBot="1" x14ac:dyDescent="0.3">
      <c r="A131" s="672"/>
      <c r="B131" s="350" t="s">
        <v>556</v>
      </c>
      <c r="C131" s="337">
        <f t="shared" ref="C131:H131" si="31">C130*C129</f>
        <v>150</v>
      </c>
      <c r="D131" s="337">
        <f t="shared" si="31"/>
        <v>150</v>
      </c>
      <c r="E131" s="337">
        <f>E130*E129</f>
        <v>150</v>
      </c>
      <c r="F131" s="337">
        <f t="shared" si="31"/>
        <v>150</v>
      </c>
      <c r="G131" s="337">
        <f t="shared" si="31"/>
        <v>150</v>
      </c>
      <c r="H131" s="337">
        <f t="shared" si="31"/>
        <v>0</v>
      </c>
      <c r="I131" s="337">
        <v>150</v>
      </c>
      <c r="J131" s="336" t="s">
        <v>557</v>
      </c>
      <c r="K131" s="538" t="s">
        <v>558</v>
      </c>
      <c r="L131" s="539" t="s">
        <v>559</v>
      </c>
    </row>
    <row r="132" spans="1:12" ht="15.75" thickBot="1" x14ac:dyDescent="0.3">
      <c r="A132" s="413"/>
      <c r="B132" s="336" t="s">
        <v>82</v>
      </c>
      <c r="C132" s="337">
        <f t="shared" ref="C132:H132" si="32">C131+C128</f>
        <v>282.84440644666063</v>
      </c>
      <c r="D132" s="337">
        <f t="shared" si="32"/>
        <v>183.62624038181096</v>
      </c>
      <c r="E132" s="337">
        <f>E131+E128</f>
        <v>390.18743129864976</v>
      </c>
      <c r="F132" s="337">
        <f t="shared" si="32"/>
        <v>157.41877678079999</v>
      </c>
      <c r="G132" s="337">
        <f t="shared" si="32"/>
        <v>190.86319104</v>
      </c>
      <c r="H132" s="337">
        <f t="shared" si="32"/>
        <v>0</v>
      </c>
      <c r="I132" s="337">
        <f>SUM(C132:H132)</f>
        <v>1204.9400459479214</v>
      </c>
      <c r="J132" s="336" t="s">
        <v>560</v>
      </c>
      <c r="K132" s="538" t="s">
        <v>561</v>
      </c>
      <c r="L132" s="539" t="s">
        <v>562</v>
      </c>
    </row>
    <row r="133" spans="1:12" ht="15.75" thickBot="1" x14ac:dyDescent="0.3">
      <c r="A133" s="172"/>
      <c r="B133" s="389"/>
      <c r="C133" s="387"/>
      <c r="D133" s="388"/>
      <c r="E133" s="388"/>
      <c r="F133" s="388"/>
      <c r="G133" s="388"/>
      <c r="H133" s="388"/>
      <c r="I133" s="388"/>
      <c r="J133" s="389"/>
      <c r="K133" s="544"/>
      <c r="L133" s="541"/>
    </row>
    <row r="134" spans="1:12" ht="30.75" thickBot="1" x14ac:dyDescent="0.3">
      <c r="A134" s="710" t="s">
        <v>34</v>
      </c>
      <c r="B134" s="410" t="s">
        <v>563</v>
      </c>
      <c r="C134" s="359"/>
      <c r="D134" s="360"/>
      <c r="E134" s="360"/>
      <c r="F134" s="360"/>
      <c r="G134" s="360"/>
      <c r="H134" s="360"/>
      <c r="I134" s="360"/>
      <c r="J134" s="361"/>
      <c r="K134" s="567"/>
      <c r="L134" s="543"/>
    </row>
    <row r="135" spans="1:12" ht="15.75" thickBot="1" x14ac:dyDescent="0.3">
      <c r="A135" s="711"/>
      <c r="B135" s="187" t="s">
        <v>564</v>
      </c>
      <c r="C135" s="681" t="s">
        <v>565</v>
      </c>
      <c r="D135" s="682"/>
      <c r="E135" s="682"/>
      <c r="F135" s="682"/>
      <c r="G135" s="682"/>
      <c r="H135" s="683"/>
      <c r="I135" s="402">
        <v>5</v>
      </c>
      <c r="J135" s="187" t="s">
        <v>566</v>
      </c>
      <c r="K135" s="568" t="s">
        <v>567</v>
      </c>
      <c r="L135" s="412"/>
    </row>
    <row r="136" spans="1:12" ht="15.75" thickBot="1" x14ac:dyDescent="0.3">
      <c r="A136" s="711"/>
      <c r="B136" s="187" t="s">
        <v>568</v>
      </c>
      <c r="C136" s="684"/>
      <c r="D136" s="685"/>
      <c r="E136" s="685"/>
      <c r="F136" s="685"/>
      <c r="G136" s="685"/>
      <c r="H136" s="686"/>
      <c r="I136" s="334">
        <v>125</v>
      </c>
      <c r="J136" s="45" t="s">
        <v>569</v>
      </c>
      <c r="K136" s="395" t="s">
        <v>570</v>
      </c>
      <c r="L136" s="412"/>
    </row>
    <row r="137" spans="1:12" ht="15.75" thickBot="1" x14ac:dyDescent="0.3">
      <c r="A137" s="711"/>
      <c r="B137" s="336" t="s">
        <v>571</v>
      </c>
      <c r="C137" s="684"/>
      <c r="D137" s="685"/>
      <c r="E137" s="685"/>
      <c r="F137" s="685"/>
      <c r="G137" s="685"/>
      <c r="H137" s="686"/>
      <c r="I137" s="337">
        <f>I135*I136</f>
        <v>625</v>
      </c>
      <c r="J137" s="336" t="s">
        <v>572</v>
      </c>
      <c r="K137" s="538" t="s">
        <v>573</v>
      </c>
      <c r="L137" s="539" t="s">
        <v>559</v>
      </c>
    </row>
    <row r="138" spans="1:12" ht="15.75" thickBot="1" x14ac:dyDescent="0.3">
      <c r="A138" s="711"/>
      <c r="B138" s="187" t="s">
        <v>574</v>
      </c>
      <c r="C138" s="684"/>
      <c r="D138" s="685"/>
      <c r="E138" s="685"/>
      <c r="F138" s="685"/>
      <c r="G138" s="685"/>
      <c r="H138" s="686"/>
      <c r="I138" s="355">
        <v>10</v>
      </c>
      <c r="J138" s="187" t="s">
        <v>575</v>
      </c>
      <c r="K138" s="395" t="s">
        <v>576</v>
      </c>
      <c r="L138" s="342"/>
    </row>
    <row r="139" spans="1:12" ht="15.75" thickBot="1" x14ac:dyDescent="0.3">
      <c r="A139" s="711"/>
      <c r="B139" s="187" t="s">
        <v>577</v>
      </c>
      <c r="C139" s="684"/>
      <c r="D139" s="685"/>
      <c r="E139" s="685"/>
      <c r="F139" s="685"/>
      <c r="G139" s="685"/>
      <c r="H139" s="686"/>
      <c r="I139" s="334">
        <v>180</v>
      </c>
      <c r="J139" s="187" t="s">
        <v>578</v>
      </c>
      <c r="K139" s="395" t="s">
        <v>579</v>
      </c>
      <c r="L139" s="412"/>
    </row>
    <row r="140" spans="1:12" ht="15.75" thickBot="1" x14ac:dyDescent="0.3">
      <c r="A140" s="711"/>
      <c r="B140" s="336" t="s">
        <v>580</v>
      </c>
      <c r="C140" s="684"/>
      <c r="D140" s="685"/>
      <c r="E140" s="685"/>
      <c r="F140" s="685"/>
      <c r="G140" s="685"/>
      <c r="H140" s="686"/>
      <c r="I140" s="337">
        <f>I138*I139</f>
        <v>1800</v>
      </c>
      <c r="J140" s="336" t="s">
        <v>581</v>
      </c>
      <c r="K140" s="538" t="s">
        <v>582</v>
      </c>
      <c r="L140" s="539" t="s">
        <v>583</v>
      </c>
    </row>
    <row r="141" spans="1:12" ht="15.75" thickBot="1" x14ac:dyDescent="0.3">
      <c r="A141" s="711"/>
      <c r="B141" s="187" t="s">
        <v>584</v>
      </c>
      <c r="C141" s="684"/>
      <c r="D141" s="685"/>
      <c r="E141" s="685"/>
      <c r="F141" s="685"/>
      <c r="G141" s="685"/>
      <c r="H141" s="686"/>
      <c r="I141" s="355">
        <v>5</v>
      </c>
      <c r="J141" s="187" t="s">
        <v>585</v>
      </c>
      <c r="K141" s="395" t="s">
        <v>586</v>
      </c>
      <c r="L141" s="342"/>
    </row>
    <row r="142" spans="1:12" ht="15.75" thickBot="1" x14ac:dyDescent="0.3">
      <c r="A142" s="711"/>
      <c r="B142" s="187" t="s">
        <v>587</v>
      </c>
      <c r="C142" s="684"/>
      <c r="D142" s="685"/>
      <c r="E142" s="685"/>
      <c r="F142" s="685"/>
      <c r="G142" s="685"/>
      <c r="H142" s="686"/>
      <c r="I142" s="334">
        <v>300</v>
      </c>
      <c r="J142" s="187" t="s">
        <v>588</v>
      </c>
      <c r="K142" s="395" t="s">
        <v>589</v>
      </c>
      <c r="L142" s="412"/>
    </row>
    <row r="143" spans="1:12" ht="15.75" thickBot="1" x14ac:dyDescent="0.3">
      <c r="A143" s="711"/>
      <c r="B143" s="336" t="s">
        <v>590</v>
      </c>
      <c r="C143" s="684"/>
      <c r="D143" s="685"/>
      <c r="E143" s="685"/>
      <c r="F143" s="685"/>
      <c r="G143" s="685"/>
      <c r="H143" s="686"/>
      <c r="I143" s="337">
        <f>I141*I142</f>
        <v>1500</v>
      </c>
      <c r="J143" s="336" t="s">
        <v>591</v>
      </c>
      <c r="K143" s="566" t="s">
        <v>592</v>
      </c>
      <c r="L143" s="539" t="s">
        <v>593</v>
      </c>
    </row>
    <row r="144" spans="1:12" ht="15.75" thickBot="1" x14ac:dyDescent="0.3">
      <c r="A144" s="711"/>
      <c r="B144" s="187" t="s">
        <v>594</v>
      </c>
      <c r="C144" s="684"/>
      <c r="D144" s="685"/>
      <c r="E144" s="685"/>
      <c r="F144" s="685"/>
      <c r="G144" s="685"/>
      <c r="H144" s="686"/>
      <c r="I144" s="363">
        <v>0.1</v>
      </c>
      <c r="J144" s="187" t="s">
        <v>595</v>
      </c>
      <c r="K144" s="395" t="s">
        <v>596</v>
      </c>
      <c r="L144" s="412"/>
    </row>
    <row r="145" spans="1:13" ht="15.75" thickBot="1" x14ac:dyDescent="0.3">
      <c r="A145" s="712"/>
      <c r="B145" s="336" t="s">
        <v>597</v>
      </c>
      <c r="C145" s="684"/>
      <c r="D145" s="685"/>
      <c r="E145" s="685"/>
      <c r="F145" s="685"/>
      <c r="G145" s="685"/>
      <c r="H145" s="686"/>
      <c r="I145" s="337">
        <f>I103*I144</f>
        <v>669.04119000000003</v>
      </c>
      <c r="J145" s="336" t="s">
        <v>598</v>
      </c>
      <c r="K145" s="538" t="s">
        <v>599</v>
      </c>
      <c r="L145" s="539" t="s">
        <v>600</v>
      </c>
    </row>
    <row r="146" spans="1:13" ht="15.75" thickBot="1" x14ac:dyDescent="0.3">
      <c r="A146" s="414"/>
      <c r="B146" s="336" t="s">
        <v>601</v>
      </c>
      <c r="C146" s="684"/>
      <c r="D146" s="685"/>
      <c r="E146" s="685"/>
      <c r="F146" s="685"/>
      <c r="G146" s="685"/>
      <c r="H146" s="686"/>
      <c r="I146" s="337">
        <f>I137+I140+I143+I145</f>
        <v>4594.0411899999999</v>
      </c>
      <c r="J146" s="336" t="s">
        <v>602</v>
      </c>
      <c r="K146" s="538" t="s">
        <v>603</v>
      </c>
      <c r="L146" s="539" t="s">
        <v>604</v>
      </c>
    </row>
    <row r="147" spans="1:13" ht="15.75" thickBot="1" x14ac:dyDescent="0.3">
      <c r="A147" s="415"/>
      <c r="B147" s="336" t="s">
        <v>605</v>
      </c>
      <c r="C147" s="687"/>
      <c r="D147" s="688"/>
      <c r="E147" s="688"/>
      <c r="F147" s="688"/>
      <c r="G147" s="688"/>
      <c r="H147" s="689"/>
      <c r="I147" s="338">
        <v>5</v>
      </c>
      <c r="J147" s="336" t="s">
        <v>606</v>
      </c>
      <c r="K147" s="538" t="s">
        <v>607</v>
      </c>
      <c r="L147" s="539"/>
    </row>
    <row r="148" spans="1:13" ht="30.75" thickBot="1" x14ac:dyDescent="0.3">
      <c r="A148" s="415"/>
      <c r="B148" s="336" t="s">
        <v>352</v>
      </c>
      <c r="C148" s="337">
        <f>I146/I147</f>
        <v>918.80823799999996</v>
      </c>
      <c r="D148" s="337">
        <f>I146/I147</f>
        <v>918.80823799999996</v>
      </c>
      <c r="E148" s="337">
        <f>I146/I147</f>
        <v>918.80823799999996</v>
      </c>
      <c r="F148" s="337">
        <f>I146/I147</f>
        <v>918.80823799999996</v>
      </c>
      <c r="G148" s="337">
        <f>I146/I147</f>
        <v>918.80823799999996</v>
      </c>
      <c r="H148" s="337"/>
      <c r="I148" s="403">
        <f>SUM(C148:H148)</f>
        <v>4594.0411899999999</v>
      </c>
      <c r="J148" s="336" t="s">
        <v>608</v>
      </c>
      <c r="K148" s="538" t="s">
        <v>609</v>
      </c>
      <c r="L148" s="539" t="s">
        <v>610</v>
      </c>
    </row>
    <row r="149" spans="1:13" ht="15.75" thickBot="1" x14ac:dyDescent="0.3">
      <c r="A149" s="317"/>
      <c r="B149" s="375"/>
      <c r="C149" s="387"/>
      <c r="D149" s="388"/>
      <c r="E149" s="388"/>
      <c r="F149" s="388"/>
      <c r="G149" s="388"/>
      <c r="H149" s="388"/>
      <c r="I149" s="388"/>
      <c r="J149" s="404"/>
      <c r="K149" s="540"/>
      <c r="L149" s="546"/>
    </row>
    <row r="150" spans="1:13" ht="30.75" thickBot="1" x14ac:dyDescent="0.3">
      <c r="A150" s="318"/>
      <c r="B150" s="481" t="s">
        <v>611</v>
      </c>
      <c r="C150" s="482">
        <f>SUM(C18,C32,C50,C61,C89,C122,C132,C148)</f>
        <v>24308.554231963302</v>
      </c>
      <c r="D150" s="482">
        <f>SUM(D18,D32,D50,D61,D89,D122,D132,D148)</f>
        <v>7611.5791712752425</v>
      </c>
      <c r="E150" s="482">
        <f>SUM(E18,E32,E50,E61,E89,E122,E132,E148)</f>
        <v>30132.761332823175</v>
      </c>
      <c r="F150" s="482">
        <f t="shared" ref="F150:H150" si="33">SUM(F18,F32,F50,F61,F122,F132,F148)</f>
        <v>8453.2001646474673</v>
      </c>
      <c r="G150" s="482">
        <f t="shared" si="33"/>
        <v>23941.449489040002</v>
      </c>
      <c r="H150" s="482">
        <f t="shared" si="33"/>
        <v>0</v>
      </c>
      <c r="I150" s="483">
        <f>SUM(C150:H150)</f>
        <v>94447.544389749179</v>
      </c>
      <c r="J150" s="484"/>
      <c r="K150" s="569"/>
      <c r="L150" s="570" t="s">
        <v>612</v>
      </c>
    </row>
    <row r="151" spans="1:13" x14ac:dyDescent="0.25">
      <c r="C151" s="416"/>
    </row>
    <row r="152" spans="1:13" ht="14.45" customHeight="1" x14ac:dyDescent="0.25">
      <c r="A152" s="677" t="s">
        <v>649</v>
      </c>
      <c r="B152" s="677"/>
      <c r="C152" s="677"/>
      <c r="D152" s="677"/>
      <c r="E152" s="677"/>
      <c r="F152" s="677"/>
      <c r="G152" s="677"/>
      <c r="H152" s="677"/>
      <c r="I152" s="405"/>
      <c r="J152" s="405"/>
      <c r="K152" s="572"/>
      <c r="L152" s="573"/>
      <c r="M152" s="405"/>
    </row>
  </sheetData>
  <mergeCells count="18">
    <mergeCell ref="A152:H152"/>
    <mergeCell ref="B1:L1"/>
    <mergeCell ref="C135:H147"/>
    <mergeCell ref="A20:A23"/>
    <mergeCell ref="B2:B4"/>
    <mergeCell ref="C2:I4"/>
    <mergeCell ref="J2:L4"/>
    <mergeCell ref="A2:A17"/>
    <mergeCell ref="A134:A145"/>
    <mergeCell ref="A100:A121"/>
    <mergeCell ref="A26:A31"/>
    <mergeCell ref="A34:A49"/>
    <mergeCell ref="A52:A59"/>
    <mergeCell ref="C70:H88"/>
    <mergeCell ref="A63:A66"/>
    <mergeCell ref="A124:A131"/>
    <mergeCell ref="A68:A98"/>
    <mergeCell ref="G97:H97"/>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C1D18-7D61-49D3-ADB6-981FCAEA538A}">
  <dimension ref="A1:M121"/>
  <sheetViews>
    <sheetView showGridLines="0" zoomScale="82" zoomScaleNormal="82" workbookViewId="0">
      <pane xSplit="1" ySplit="5" topLeftCell="B90" activePane="bottomRight" state="frozen"/>
      <selection pane="topRight" activeCell="B1" sqref="B1"/>
      <selection pane="bottomLeft" activeCell="A6" sqref="A6"/>
      <selection pane="bottomRight" activeCell="K6" sqref="K6:L18"/>
    </sheetView>
  </sheetViews>
  <sheetFormatPr defaultColWidth="8.7109375" defaultRowHeight="15" x14ac:dyDescent="0.25"/>
  <cols>
    <col min="1" max="1" width="18.28515625" style="45" customWidth="1"/>
    <col min="2" max="2" width="43.42578125" style="45" customWidth="1"/>
    <col min="3" max="3" width="18.28515625" style="64" bestFit="1" customWidth="1"/>
    <col min="4" max="8" width="13.7109375" style="7" customWidth="1"/>
    <col min="9" max="9" width="15" style="7" bestFit="1" customWidth="1"/>
    <col min="10" max="10" width="43.28515625" style="48" customWidth="1"/>
    <col min="11" max="11" width="7.42578125" customWidth="1"/>
    <col min="12" max="12" width="15.42578125" style="45" customWidth="1"/>
    <col min="13" max="13" width="25.42578125" customWidth="1"/>
  </cols>
  <sheetData>
    <row r="1" spans="1:13" ht="22.5" customHeight="1" thickBot="1" x14ac:dyDescent="0.4">
      <c r="A1" s="494" t="s">
        <v>613</v>
      </c>
      <c r="B1" s="715" t="s">
        <v>614</v>
      </c>
      <c r="C1" s="716"/>
      <c r="D1" s="716"/>
      <c r="E1" s="716"/>
      <c r="F1" s="716"/>
      <c r="G1" s="716"/>
      <c r="H1" s="716"/>
      <c r="I1" s="716"/>
      <c r="J1" s="717"/>
      <c r="K1" s="717"/>
      <c r="L1" s="718"/>
      <c r="M1" s="192" t="s">
        <v>185</v>
      </c>
    </row>
    <row r="2" spans="1:13" ht="28.5" customHeight="1" thickBot="1" x14ac:dyDescent="0.3">
      <c r="A2" s="736" t="s">
        <v>21</v>
      </c>
      <c r="B2" s="728" t="s">
        <v>615</v>
      </c>
      <c r="C2" s="726" t="s">
        <v>187</v>
      </c>
      <c r="D2" s="720"/>
      <c r="E2" s="720"/>
      <c r="F2" s="720"/>
      <c r="G2" s="720"/>
      <c r="H2" s="720"/>
      <c r="I2" s="721"/>
      <c r="J2" s="719" t="s">
        <v>188</v>
      </c>
      <c r="K2" s="720"/>
      <c r="L2" s="721"/>
      <c r="M2" s="217" t="s">
        <v>189</v>
      </c>
    </row>
    <row r="3" spans="1:13" ht="49.15" customHeight="1" thickBot="1" x14ac:dyDescent="0.3">
      <c r="A3" s="736"/>
      <c r="B3" s="729"/>
      <c r="C3" s="727"/>
      <c r="D3" s="722"/>
      <c r="E3" s="722"/>
      <c r="F3" s="722"/>
      <c r="G3" s="722"/>
      <c r="H3" s="722"/>
      <c r="I3" s="723"/>
      <c r="J3" s="722"/>
      <c r="K3" s="722"/>
      <c r="L3" s="723"/>
      <c r="M3" s="218" t="s">
        <v>190</v>
      </c>
    </row>
    <row r="4" spans="1:13" ht="28.5" hidden="1" customHeight="1" x14ac:dyDescent="0.25">
      <c r="A4" s="736"/>
      <c r="B4" s="730"/>
      <c r="C4" s="727"/>
      <c r="D4" s="722"/>
      <c r="E4" s="722"/>
      <c r="F4" s="722"/>
      <c r="G4" s="722"/>
      <c r="H4" s="722"/>
      <c r="I4" s="723"/>
      <c r="J4" s="724"/>
      <c r="K4" s="724"/>
      <c r="L4" s="725"/>
      <c r="M4" s="219" t="s">
        <v>191</v>
      </c>
    </row>
    <row r="5" spans="1:13" ht="35.25" customHeight="1" thickBot="1" x14ac:dyDescent="0.3">
      <c r="A5" s="736"/>
      <c r="B5" s="500"/>
      <c r="C5" s="502" t="s">
        <v>55</v>
      </c>
      <c r="D5" s="502" t="s">
        <v>56</v>
      </c>
      <c r="E5" s="502" t="s">
        <v>57</v>
      </c>
      <c r="F5" s="502" t="s">
        <v>58</v>
      </c>
      <c r="G5" s="502" t="s">
        <v>59</v>
      </c>
      <c r="H5" s="502" t="s">
        <v>192</v>
      </c>
      <c r="I5" s="502" t="s">
        <v>193</v>
      </c>
      <c r="J5" s="501" t="s">
        <v>89</v>
      </c>
      <c r="K5" s="190" t="s">
        <v>194</v>
      </c>
      <c r="L5" s="191" t="s">
        <v>195</v>
      </c>
      <c r="M5" s="220" t="s">
        <v>196</v>
      </c>
    </row>
    <row r="6" spans="1:13" ht="30" thickBot="1" x14ac:dyDescent="0.3">
      <c r="A6" s="737"/>
      <c r="B6" s="3" t="s">
        <v>197</v>
      </c>
      <c r="C6" s="68"/>
      <c r="D6" s="203"/>
      <c r="E6" s="203"/>
      <c r="F6" s="203"/>
      <c r="G6" s="203"/>
      <c r="H6" s="203"/>
      <c r="I6" s="68">
        <f>SUM(C6:H6)</f>
        <v>0</v>
      </c>
      <c r="J6" s="3" t="s">
        <v>198</v>
      </c>
      <c r="K6" s="160" t="s">
        <v>199</v>
      </c>
      <c r="L6" s="180"/>
    </row>
    <row r="7" spans="1:13" ht="15.75" thickBot="1" x14ac:dyDescent="0.3">
      <c r="A7" s="737"/>
      <c r="B7" s="2" t="s">
        <v>200</v>
      </c>
      <c r="C7" s="56"/>
      <c r="D7" s="50"/>
      <c r="E7" s="50"/>
      <c r="F7" s="50"/>
      <c r="G7" s="50"/>
      <c r="H7" s="50"/>
      <c r="I7" s="50"/>
      <c r="J7" s="3" t="s">
        <v>201</v>
      </c>
      <c r="K7" s="160" t="s">
        <v>202</v>
      </c>
      <c r="L7" s="180"/>
    </row>
    <row r="8" spans="1:13" ht="29.25" x14ac:dyDescent="0.25">
      <c r="A8" s="737"/>
      <c r="B8" s="149" t="s">
        <v>203</v>
      </c>
      <c r="C8" s="57">
        <f t="shared" ref="C8:H8" si="0">C6*C7</f>
        <v>0</v>
      </c>
      <c r="D8" s="57">
        <f t="shared" si="0"/>
        <v>0</v>
      </c>
      <c r="E8" s="57">
        <f t="shared" si="0"/>
        <v>0</v>
      </c>
      <c r="F8" s="57">
        <f t="shared" si="0"/>
        <v>0</v>
      </c>
      <c r="G8" s="57">
        <f t="shared" si="0"/>
        <v>0</v>
      </c>
      <c r="H8" s="57">
        <f t="shared" si="0"/>
        <v>0</v>
      </c>
      <c r="I8" s="57">
        <f>SUM(C8:H8)</f>
        <v>0</v>
      </c>
      <c r="J8" s="149" t="s">
        <v>204</v>
      </c>
      <c r="K8" s="161" t="s">
        <v>205</v>
      </c>
      <c r="L8" s="169" t="s">
        <v>206</v>
      </c>
    </row>
    <row r="9" spans="1:13" ht="43.5" x14ac:dyDescent="0.25">
      <c r="A9" s="737"/>
      <c r="B9" s="2" t="s">
        <v>207</v>
      </c>
      <c r="C9" s="60">
        <f>'1 - Data Source Estimates'!C22</f>
        <v>1</v>
      </c>
      <c r="D9" s="197">
        <f>'1 - Data Source Estimates'!F22</f>
        <v>1</v>
      </c>
      <c r="E9" s="197">
        <f>'1 - Data Source Estimates'!I22</f>
        <v>1</v>
      </c>
      <c r="F9" s="197">
        <f>'1 - Data Source Estimates'!L22</f>
        <v>1</v>
      </c>
      <c r="G9" s="197">
        <f>'1 - Data Source Estimates'!O22</f>
        <v>1</v>
      </c>
      <c r="H9" s="197">
        <v>0</v>
      </c>
      <c r="I9" s="197">
        <f>SUM(C9:H9)</f>
        <v>5</v>
      </c>
      <c r="J9" s="3" t="s">
        <v>208</v>
      </c>
      <c r="K9" s="160" t="s">
        <v>209</v>
      </c>
      <c r="L9" s="180"/>
    </row>
    <row r="10" spans="1:13" x14ac:dyDescent="0.25">
      <c r="A10" s="737"/>
      <c r="B10" s="2" t="s">
        <v>210</v>
      </c>
      <c r="C10" s="56">
        <v>750</v>
      </c>
      <c r="D10" s="50">
        <v>1150</v>
      </c>
      <c r="E10" s="50">
        <v>500</v>
      </c>
      <c r="F10" s="50">
        <v>600</v>
      </c>
      <c r="G10" s="50">
        <v>750</v>
      </c>
      <c r="H10" s="50"/>
      <c r="I10" s="50">
        <f>SUM(C10:H10)</f>
        <v>3750</v>
      </c>
      <c r="J10" s="3" t="s">
        <v>211</v>
      </c>
      <c r="K10" s="160" t="s">
        <v>212</v>
      </c>
      <c r="L10" s="180"/>
    </row>
    <row r="11" spans="1:13" ht="29.25" x14ac:dyDescent="0.25">
      <c r="A11" s="737"/>
      <c r="B11" s="149" t="s">
        <v>213</v>
      </c>
      <c r="C11" s="57">
        <f t="shared" ref="C11:H11" si="1">C9*C10</f>
        <v>750</v>
      </c>
      <c r="D11" s="57">
        <f t="shared" si="1"/>
        <v>1150</v>
      </c>
      <c r="E11" s="57">
        <f t="shared" si="1"/>
        <v>500</v>
      </c>
      <c r="F11" s="57">
        <f t="shared" si="1"/>
        <v>600</v>
      </c>
      <c r="G11" s="57">
        <f t="shared" si="1"/>
        <v>750</v>
      </c>
      <c r="H11" s="57">
        <f t="shared" si="1"/>
        <v>0</v>
      </c>
      <c r="I11" s="57"/>
      <c r="J11" s="149" t="s">
        <v>214</v>
      </c>
      <c r="K11" s="161" t="s">
        <v>215</v>
      </c>
      <c r="L11" s="169" t="s">
        <v>216</v>
      </c>
    </row>
    <row r="12" spans="1:13" ht="29.25" x14ac:dyDescent="0.25">
      <c r="A12" s="737"/>
      <c r="B12" s="2" t="s">
        <v>217</v>
      </c>
      <c r="C12" s="140"/>
      <c r="D12" s="194"/>
      <c r="E12" s="194"/>
      <c r="F12" s="194"/>
      <c r="G12" s="194"/>
      <c r="H12" s="194"/>
      <c r="I12" s="194"/>
      <c r="J12" s="3" t="s">
        <v>218</v>
      </c>
      <c r="K12" s="160" t="s">
        <v>219</v>
      </c>
      <c r="L12" s="180"/>
    </row>
    <row r="13" spans="1:13" ht="21" customHeight="1" x14ac:dyDescent="0.25">
      <c r="A13" s="737"/>
      <c r="B13" s="2" t="s">
        <v>220</v>
      </c>
      <c r="C13" s="56"/>
      <c r="D13" s="50"/>
      <c r="E13" s="50"/>
      <c r="F13" s="50"/>
      <c r="G13" s="50"/>
      <c r="H13" s="50"/>
      <c r="I13" s="50"/>
      <c r="J13" s="3" t="s">
        <v>221</v>
      </c>
      <c r="K13" s="160" t="s">
        <v>222</v>
      </c>
      <c r="L13" s="180"/>
    </row>
    <row r="14" spans="1:13" ht="29.25" x14ac:dyDescent="0.25">
      <c r="A14" s="737"/>
      <c r="B14" s="149" t="s">
        <v>223</v>
      </c>
      <c r="C14" s="57">
        <f t="shared" ref="C14:H14" si="2">C12*C13</f>
        <v>0</v>
      </c>
      <c r="D14" s="57">
        <f t="shared" si="2"/>
        <v>0</v>
      </c>
      <c r="E14" s="57">
        <f t="shared" si="2"/>
        <v>0</v>
      </c>
      <c r="F14" s="57">
        <f t="shared" si="2"/>
        <v>0</v>
      </c>
      <c r="G14" s="57">
        <f t="shared" si="2"/>
        <v>0</v>
      </c>
      <c r="H14" s="57">
        <f t="shared" si="2"/>
        <v>0</v>
      </c>
      <c r="I14" s="57">
        <f>SUM(C14:H14)</f>
        <v>0</v>
      </c>
      <c r="J14" s="149" t="s">
        <v>224</v>
      </c>
      <c r="K14" s="161" t="s">
        <v>225</v>
      </c>
      <c r="L14" s="169" t="s">
        <v>226</v>
      </c>
    </row>
    <row r="15" spans="1:13" s="260" customFormat="1" ht="29.25" x14ac:dyDescent="0.25">
      <c r="A15" s="737"/>
      <c r="B15" s="261" t="s">
        <v>227</v>
      </c>
      <c r="C15" s="262"/>
      <c r="D15" s="263"/>
      <c r="E15" s="263"/>
      <c r="F15" s="263"/>
      <c r="G15" s="263"/>
      <c r="H15" s="263"/>
      <c r="I15" s="263"/>
      <c r="J15" s="264" t="s">
        <v>228</v>
      </c>
      <c r="K15" s="265" t="s">
        <v>229</v>
      </c>
      <c r="L15" s="266"/>
    </row>
    <row r="16" spans="1:13" ht="29.25" x14ac:dyDescent="0.25">
      <c r="A16" s="737"/>
      <c r="B16" s="2" t="s">
        <v>230</v>
      </c>
      <c r="C16" s="56"/>
      <c r="D16" s="50"/>
      <c r="E16" s="50"/>
      <c r="F16" s="50"/>
      <c r="G16" s="50"/>
      <c r="H16" s="50"/>
      <c r="I16" s="50"/>
      <c r="J16" s="3" t="s">
        <v>231</v>
      </c>
      <c r="K16" s="160" t="s">
        <v>232</v>
      </c>
      <c r="L16" s="180"/>
    </row>
    <row r="17" spans="1:12" ht="29.25" x14ac:dyDescent="0.25">
      <c r="A17" s="309"/>
      <c r="B17" s="149" t="s">
        <v>233</v>
      </c>
      <c r="C17" s="57">
        <f t="shared" ref="C17:H17" si="3">C15*C16</f>
        <v>0</v>
      </c>
      <c r="D17" s="57">
        <f t="shared" si="3"/>
        <v>0</v>
      </c>
      <c r="E17" s="57">
        <f t="shared" si="3"/>
        <v>0</v>
      </c>
      <c r="F17" s="57">
        <f t="shared" si="3"/>
        <v>0</v>
      </c>
      <c r="G17" s="57">
        <f t="shared" si="3"/>
        <v>0</v>
      </c>
      <c r="H17" s="57">
        <f t="shared" si="3"/>
        <v>0</v>
      </c>
      <c r="I17" s="57">
        <f>SUM(C17:H17)</f>
        <v>0</v>
      </c>
      <c r="J17" s="149" t="s">
        <v>234</v>
      </c>
      <c r="K17" s="161" t="s">
        <v>235</v>
      </c>
      <c r="L17" s="169" t="s">
        <v>236</v>
      </c>
    </row>
    <row r="18" spans="1:12" ht="26.25" x14ac:dyDescent="0.25">
      <c r="A18" s="310"/>
      <c r="B18" s="149" t="s">
        <v>64</v>
      </c>
      <c r="C18" s="57">
        <f t="shared" ref="C18:H18" si="4">C17+C14+C11+C8</f>
        <v>750</v>
      </c>
      <c r="D18" s="57">
        <f t="shared" si="4"/>
        <v>1150</v>
      </c>
      <c r="E18" s="57">
        <f t="shared" si="4"/>
        <v>500</v>
      </c>
      <c r="F18" s="57">
        <f t="shared" si="4"/>
        <v>600</v>
      </c>
      <c r="G18" s="57">
        <f t="shared" si="4"/>
        <v>750</v>
      </c>
      <c r="H18" s="57">
        <f t="shared" si="4"/>
        <v>0</v>
      </c>
      <c r="I18" s="57">
        <f>SUM(C18:H18)</f>
        <v>3750</v>
      </c>
      <c r="J18" s="149" t="s">
        <v>237</v>
      </c>
      <c r="K18" s="161" t="s">
        <v>238</v>
      </c>
      <c r="L18" s="169" t="s">
        <v>239</v>
      </c>
    </row>
    <row r="19" spans="1:12" x14ac:dyDescent="0.25">
      <c r="A19" s="172"/>
      <c r="B19" s="172"/>
      <c r="C19" s="58"/>
      <c r="D19" s="5"/>
      <c r="E19" s="5"/>
      <c r="F19" s="5"/>
      <c r="G19" s="5"/>
      <c r="H19" s="5"/>
      <c r="I19" s="5"/>
      <c r="J19" s="150"/>
      <c r="K19" s="158"/>
      <c r="L19" s="181"/>
    </row>
    <row r="20" spans="1:12" ht="43.5" x14ac:dyDescent="0.25">
      <c r="A20" s="731" t="s">
        <v>240</v>
      </c>
      <c r="B20" s="173" t="s">
        <v>241</v>
      </c>
      <c r="C20" s="59">
        <f>'1 - Data Source Estimates'!E22</f>
        <v>5</v>
      </c>
      <c r="D20" s="138">
        <f>'1 - Data Source Estimates'!H22</f>
        <v>4.5</v>
      </c>
      <c r="E20" s="138">
        <f>'1 - Data Source Estimates'!K22</f>
        <v>0.25</v>
      </c>
      <c r="F20" s="52">
        <v>30</v>
      </c>
      <c r="G20" s="52">
        <v>8</v>
      </c>
      <c r="H20" s="139"/>
      <c r="I20" s="138">
        <f>SUM(C20:H20)</f>
        <v>47.75</v>
      </c>
      <c r="J20" s="149" t="s">
        <v>242</v>
      </c>
      <c r="K20" s="161" t="s">
        <v>243</v>
      </c>
      <c r="L20" s="169" t="s">
        <v>244</v>
      </c>
    </row>
    <row r="21" spans="1:12" x14ac:dyDescent="0.25">
      <c r="A21" s="731"/>
      <c r="B21" s="2" t="s">
        <v>245</v>
      </c>
      <c r="C21" s="195"/>
      <c r="D21" s="239"/>
      <c r="E21" s="239"/>
      <c r="F21" s="239"/>
      <c r="G21" s="239"/>
      <c r="H21" s="239"/>
      <c r="I21" s="195">
        <f>SUM(C21:H21)</f>
        <v>0</v>
      </c>
      <c r="J21" s="2" t="s">
        <v>246</v>
      </c>
      <c r="K21" s="160" t="s">
        <v>247</v>
      </c>
      <c r="L21" s="180"/>
    </row>
    <row r="22" spans="1:12" x14ac:dyDescent="0.25">
      <c r="A22" s="731"/>
      <c r="B22" s="2" t="s">
        <v>248</v>
      </c>
      <c r="C22" s="195"/>
      <c r="D22" s="239"/>
      <c r="E22" s="239"/>
      <c r="F22" s="239"/>
      <c r="G22" s="239"/>
      <c r="H22" s="239"/>
      <c r="I22" s="195">
        <f>SUM(C22:H22)</f>
        <v>0</v>
      </c>
      <c r="J22" s="2" t="s">
        <v>249</v>
      </c>
      <c r="K22" s="160" t="s">
        <v>250</v>
      </c>
      <c r="L22" s="180"/>
    </row>
    <row r="23" spans="1:12" x14ac:dyDescent="0.25">
      <c r="A23" s="731"/>
      <c r="B23" s="173" t="s">
        <v>251</v>
      </c>
      <c r="C23" s="200">
        <f t="shared" ref="C23:H23" si="5">C21*C22</f>
        <v>0</v>
      </c>
      <c r="D23" s="200">
        <f t="shared" si="5"/>
        <v>0</v>
      </c>
      <c r="E23" s="200">
        <f t="shared" si="5"/>
        <v>0</v>
      </c>
      <c r="F23" s="200">
        <f t="shared" si="5"/>
        <v>0</v>
      </c>
      <c r="G23" s="200">
        <f t="shared" si="5"/>
        <v>0</v>
      </c>
      <c r="H23" s="200">
        <f t="shared" si="5"/>
        <v>0</v>
      </c>
      <c r="I23" s="200">
        <f>SUM(C23:H23)</f>
        <v>0</v>
      </c>
      <c r="J23" s="149" t="s">
        <v>252</v>
      </c>
      <c r="K23" s="161" t="s">
        <v>253</v>
      </c>
      <c r="L23" s="169" t="s">
        <v>254</v>
      </c>
    </row>
    <row r="24" spans="1:12" ht="29.25" x14ac:dyDescent="0.25">
      <c r="A24" s="311"/>
      <c r="B24" s="149" t="s">
        <v>65</v>
      </c>
      <c r="C24" s="59">
        <f t="shared" ref="C24:H24" si="6">C23+C20</f>
        <v>5</v>
      </c>
      <c r="D24" s="59">
        <f t="shared" si="6"/>
        <v>4.5</v>
      </c>
      <c r="E24" s="200">
        <f t="shared" si="6"/>
        <v>0.25</v>
      </c>
      <c r="F24" s="59">
        <f t="shared" si="6"/>
        <v>30</v>
      </c>
      <c r="G24" s="59">
        <f t="shared" si="6"/>
        <v>8</v>
      </c>
      <c r="H24" s="59">
        <f t="shared" si="6"/>
        <v>0</v>
      </c>
      <c r="I24" s="59">
        <f>SUM(C24:H24)</f>
        <v>47.75</v>
      </c>
      <c r="J24" s="149" t="s">
        <v>255</v>
      </c>
      <c r="K24" s="161" t="s">
        <v>256</v>
      </c>
      <c r="L24" s="169" t="s">
        <v>257</v>
      </c>
    </row>
    <row r="25" spans="1:12" x14ac:dyDescent="0.25">
      <c r="A25" s="172"/>
      <c r="B25" s="174"/>
      <c r="C25" s="58"/>
      <c r="D25" s="5"/>
      <c r="E25" s="5"/>
      <c r="F25" s="5"/>
      <c r="G25" s="5"/>
      <c r="H25" s="5"/>
      <c r="I25" s="5"/>
      <c r="J25" s="150"/>
      <c r="K25" s="158"/>
      <c r="L25" s="181"/>
    </row>
    <row r="26" spans="1:12" ht="51.75" x14ac:dyDescent="0.25">
      <c r="A26" s="733" t="s">
        <v>22</v>
      </c>
      <c r="B26" s="55" t="s">
        <v>258</v>
      </c>
      <c r="C26" s="65"/>
      <c r="D26" s="51"/>
      <c r="E26" s="51"/>
      <c r="F26" s="51"/>
      <c r="G26" s="51"/>
      <c r="H26" s="51"/>
      <c r="I26" s="51"/>
      <c r="J26" s="151"/>
      <c r="K26" s="164"/>
      <c r="L26" s="182"/>
    </row>
    <row r="27" spans="1:12" ht="29.25" x14ac:dyDescent="0.25">
      <c r="A27" s="734"/>
      <c r="B27" s="175" t="s">
        <v>259</v>
      </c>
      <c r="C27" s="60">
        <f>C24</f>
        <v>5</v>
      </c>
      <c r="D27" s="60">
        <f>D24</f>
        <v>4.5</v>
      </c>
      <c r="E27" s="195">
        <f>E24</f>
        <v>0.25</v>
      </c>
      <c r="F27" s="60">
        <v>30</v>
      </c>
      <c r="G27" s="60">
        <v>8</v>
      </c>
      <c r="H27" s="60">
        <f>H24</f>
        <v>0</v>
      </c>
      <c r="I27" s="60">
        <f>SUM(C27:H27)</f>
        <v>47.75</v>
      </c>
      <c r="J27" s="3" t="s">
        <v>260</v>
      </c>
      <c r="K27" s="160" t="s">
        <v>256</v>
      </c>
      <c r="L27" s="180" t="s">
        <v>256</v>
      </c>
    </row>
    <row r="28" spans="1:12" ht="29.25" x14ac:dyDescent="0.25">
      <c r="A28" s="734"/>
      <c r="B28" s="175" t="s">
        <v>261</v>
      </c>
      <c r="C28" s="61">
        <v>0.2</v>
      </c>
      <c r="D28" s="61">
        <v>0.65</v>
      </c>
      <c r="E28" s="61">
        <v>0.12</v>
      </c>
      <c r="F28" s="61">
        <v>0.25</v>
      </c>
      <c r="G28" s="61">
        <v>0.7</v>
      </c>
      <c r="H28" s="234"/>
      <c r="I28" s="234"/>
      <c r="J28" s="3" t="s">
        <v>262</v>
      </c>
      <c r="K28" s="160" t="s">
        <v>263</v>
      </c>
      <c r="L28" s="180"/>
    </row>
    <row r="29" spans="1:12" x14ac:dyDescent="0.25">
      <c r="A29" s="734"/>
      <c r="B29" s="193" t="s">
        <v>264</v>
      </c>
      <c r="C29" s="237">
        <f t="shared" ref="C29:H29" si="7">C27*(1-C28)</f>
        <v>4</v>
      </c>
      <c r="D29" s="237">
        <f t="shared" si="7"/>
        <v>1.575</v>
      </c>
      <c r="E29" s="237">
        <f t="shared" si="7"/>
        <v>0.22</v>
      </c>
      <c r="F29" s="238">
        <f t="shared" si="7"/>
        <v>22.5</v>
      </c>
      <c r="G29" s="237">
        <f t="shared" si="7"/>
        <v>2.4000000000000004</v>
      </c>
      <c r="H29" s="237">
        <f t="shared" si="7"/>
        <v>0</v>
      </c>
      <c r="I29" s="237">
        <f>SUM(C29:H29)</f>
        <v>30.695</v>
      </c>
      <c r="J29" s="149" t="s">
        <v>265</v>
      </c>
      <c r="K29" s="161" t="s">
        <v>266</v>
      </c>
      <c r="L29" s="169" t="s">
        <v>267</v>
      </c>
    </row>
    <row r="30" spans="1:12" ht="29.25" x14ac:dyDescent="0.25">
      <c r="A30" s="734"/>
      <c r="B30" s="9" t="s">
        <v>268</v>
      </c>
      <c r="C30" s="235">
        <v>1.5</v>
      </c>
      <c r="D30" s="235">
        <v>4</v>
      </c>
      <c r="E30" s="235">
        <v>6</v>
      </c>
      <c r="F30" s="235">
        <v>2</v>
      </c>
      <c r="G30" s="235">
        <v>2</v>
      </c>
      <c r="H30" s="198"/>
      <c r="I30" s="198">
        <f>SUM(C30:H30)</f>
        <v>15.5</v>
      </c>
      <c r="J30" s="3" t="s">
        <v>269</v>
      </c>
      <c r="K30" s="160" t="s">
        <v>270</v>
      </c>
      <c r="L30" s="180"/>
    </row>
    <row r="31" spans="1:12" ht="29.25" x14ac:dyDescent="0.25">
      <c r="A31" s="735"/>
      <c r="B31" s="9" t="s">
        <v>271</v>
      </c>
      <c r="C31" s="56">
        <v>300</v>
      </c>
      <c r="D31" s="56">
        <v>300</v>
      </c>
      <c r="E31" s="56">
        <v>300</v>
      </c>
      <c r="F31" s="56">
        <v>300</v>
      </c>
      <c r="G31" s="56">
        <v>300</v>
      </c>
      <c r="H31" s="53"/>
      <c r="I31" s="53"/>
      <c r="J31" s="3" t="s">
        <v>272</v>
      </c>
      <c r="K31" s="160" t="s">
        <v>273</v>
      </c>
      <c r="L31" s="180"/>
    </row>
    <row r="32" spans="1:12" x14ac:dyDescent="0.25">
      <c r="A32" s="312"/>
      <c r="B32" s="149" t="s">
        <v>66</v>
      </c>
      <c r="C32" s="57">
        <f t="shared" ref="C32:H32" si="8">C30*C31</f>
        <v>450</v>
      </c>
      <c r="D32" s="57">
        <f t="shared" si="8"/>
        <v>1200</v>
      </c>
      <c r="E32" s="57">
        <f t="shared" si="8"/>
        <v>1800</v>
      </c>
      <c r="F32" s="57">
        <f t="shared" si="8"/>
        <v>600</v>
      </c>
      <c r="G32" s="57">
        <f t="shared" si="8"/>
        <v>600</v>
      </c>
      <c r="H32" s="57">
        <f t="shared" si="8"/>
        <v>0</v>
      </c>
      <c r="I32" s="57">
        <f>SUM(C32:H32)</f>
        <v>4650</v>
      </c>
      <c r="J32" s="149" t="s">
        <v>274</v>
      </c>
      <c r="K32" s="161" t="s">
        <v>275</v>
      </c>
      <c r="L32" s="169" t="s">
        <v>276</v>
      </c>
    </row>
    <row r="33" spans="1:12" x14ac:dyDescent="0.25">
      <c r="A33" s="172"/>
      <c r="B33" s="176"/>
      <c r="C33" s="62"/>
      <c r="D33" s="6"/>
      <c r="E33" s="6"/>
      <c r="F33" s="6"/>
      <c r="G33" s="6"/>
      <c r="H33" s="6"/>
      <c r="I33" s="6"/>
      <c r="J33" s="152"/>
      <c r="K33" s="165"/>
      <c r="L33" s="183"/>
    </row>
    <row r="34" spans="1:12" ht="26.25" x14ac:dyDescent="0.25">
      <c r="A34" s="731" t="s">
        <v>277</v>
      </c>
      <c r="B34" s="54" t="s">
        <v>278</v>
      </c>
      <c r="C34" s="65"/>
      <c r="D34" s="51"/>
      <c r="E34" s="51"/>
      <c r="F34" s="51"/>
      <c r="G34" s="51"/>
      <c r="H34" s="51"/>
      <c r="I34" s="51"/>
      <c r="J34" s="151"/>
      <c r="K34" s="164"/>
      <c r="L34" s="182"/>
    </row>
    <row r="35" spans="1:12" ht="29.25" x14ac:dyDescent="0.25">
      <c r="A35" s="731"/>
      <c r="B35" s="3" t="s">
        <v>279</v>
      </c>
      <c r="C35" s="63">
        <v>2</v>
      </c>
      <c r="D35" s="61">
        <v>1.5</v>
      </c>
      <c r="E35" s="61">
        <v>1.1200000000000001</v>
      </c>
      <c r="F35" s="61">
        <v>1.5</v>
      </c>
      <c r="G35" s="61">
        <v>1.1499999999999999</v>
      </c>
      <c r="H35" s="199"/>
      <c r="I35" s="199"/>
      <c r="J35" s="3" t="s">
        <v>280</v>
      </c>
      <c r="K35" s="160" t="s">
        <v>281</v>
      </c>
      <c r="L35" s="180"/>
    </row>
    <row r="36" spans="1:12" x14ac:dyDescent="0.25">
      <c r="A36" s="731"/>
      <c r="B36" s="149" t="s">
        <v>282</v>
      </c>
      <c r="C36" s="200">
        <f t="shared" ref="C36:H36" si="9">C29*C35</f>
        <v>8</v>
      </c>
      <c r="D36" s="200">
        <f t="shared" si="9"/>
        <v>2.3624999999999998</v>
      </c>
      <c r="E36" s="200">
        <f t="shared" si="9"/>
        <v>0.24640000000000004</v>
      </c>
      <c r="F36" s="200">
        <f t="shared" si="9"/>
        <v>33.75</v>
      </c>
      <c r="G36" s="200">
        <f t="shared" si="9"/>
        <v>2.7600000000000002</v>
      </c>
      <c r="H36" s="200">
        <f t="shared" si="9"/>
        <v>0</v>
      </c>
      <c r="I36" s="200">
        <f>SUM(C36:H36)</f>
        <v>47.118899999999996</v>
      </c>
      <c r="J36" s="149" t="s">
        <v>283</v>
      </c>
      <c r="K36" s="161" t="s">
        <v>284</v>
      </c>
      <c r="L36" s="169" t="s">
        <v>285</v>
      </c>
    </row>
    <row r="37" spans="1:12" x14ac:dyDescent="0.25">
      <c r="A37" s="731"/>
      <c r="B37" s="3" t="s">
        <v>99</v>
      </c>
      <c r="C37" s="56">
        <v>25</v>
      </c>
      <c r="D37" s="56">
        <v>25</v>
      </c>
      <c r="E37" s="56">
        <v>25</v>
      </c>
      <c r="F37" s="56">
        <v>25</v>
      </c>
      <c r="G37" s="56">
        <v>25</v>
      </c>
      <c r="H37" s="50"/>
      <c r="I37" s="50"/>
      <c r="J37" s="3" t="s">
        <v>286</v>
      </c>
      <c r="K37" s="160" t="s">
        <v>287</v>
      </c>
      <c r="L37" s="180"/>
    </row>
    <row r="38" spans="1:12" ht="43.5" x14ac:dyDescent="0.25">
      <c r="A38" s="731"/>
      <c r="B38" s="149" t="s">
        <v>67</v>
      </c>
      <c r="C38" s="57">
        <f t="shared" ref="C38:H38" si="10">C36*C37</f>
        <v>200</v>
      </c>
      <c r="D38" s="57">
        <f t="shared" si="10"/>
        <v>59.062499999999993</v>
      </c>
      <c r="E38" s="57">
        <f t="shared" si="10"/>
        <v>6.160000000000001</v>
      </c>
      <c r="F38" s="57">
        <f t="shared" si="10"/>
        <v>843.75</v>
      </c>
      <c r="G38" s="57">
        <f t="shared" si="10"/>
        <v>69</v>
      </c>
      <c r="H38" s="57">
        <f t="shared" si="10"/>
        <v>0</v>
      </c>
      <c r="I38" s="57">
        <f>SUM(C38:H38)</f>
        <v>1177.9725000000001</v>
      </c>
      <c r="J38" s="149" t="s">
        <v>288</v>
      </c>
      <c r="K38" s="161" t="s">
        <v>289</v>
      </c>
      <c r="L38" s="169" t="s">
        <v>290</v>
      </c>
    </row>
    <row r="39" spans="1:12" ht="29.25" x14ac:dyDescent="0.25">
      <c r="A39" s="731"/>
      <c r="B39" s="3" t="s">
        <v>291</v>
      </c>
      <c r="C39" s="61">
        <v>0.2</v>
      </c>
      <c r="D39" s="61">
        <v>0.1</v>
      </c>
      <c r="E39" s="61">
        <v>0.12</v>
      </c>
      <c r="F39" s="61">
        <v>0.55000000000000004</v>
      </c>
      <c r="G39" s="61">
        <v>0.15</v>
      </c>
      <c r="H39" s="202"/>
      <c r="I39" s="202"/>
      <c r="J39" s="3" t="s">
        <v>292</v>
      </c>
      <c r="K39" s="160" t="s">
        <v>293</v>
      </c>
      <c r="L39" s="180"/>
    </row>
    <row r="40" spans="1:12" x14ac:dyDescent="0.25">
      <c r="A40" s="731"/>
      <c r="B40" s="149" t="s">
        <v>294</v>
      </c>
      <c r="C40" s="200">
        <f t="shared" ref="C40:H40" si="11">C36*(1-C39)</f>
        <v>6.4</v>
      </c>
      <c r="D40" s="200">
        <f t="shared" si="11"/>
        <v>2.1262499999999998</v>
      </c>
      <c r="E40" s="200">
        <f t="shared" si="11"/>
        <v>0.21683200000000002</v>
      </c>
      <c r="F40" s="200">
        <f t="shared" si="11"/>
        <v>15.187499999999998</v>
      </c>
      <c r="G40" s="200">
        <f t="shared" si="11"/>
        <v>2.3460000000000001</v>
      </c>
      <c r="H40" s="200">
        <f t="shared" si="11"/>
        <v>0</v>
      </c>
      <c r="I40" s="200">
        <f>SUM(C40:H40)</f>
        <v>26.276582000000001</v>
      </c>
      <c r="J40" s="149" t="s">
        <v>295</v>
      </c>
      <c r="K40" s="161" t="s">
        <v>296</v>
      </c>
      <c r="L40" s="169" t="s">
        <v>297</v>
      </c>
    </row>
    <row r="41" spans="1:12" ht="29.25" x14ac:dyDescent="0.25">
      <c r="A41" s="731"/>
      <c r="B41" s="3" t="s">
        <v>298</v>
      </c>
      <c r="C41" s="61">
        <v>0.65</v>
      </c>
      <c r="D41" s="61">
        <v>0.8</v>
      </c>
      <c r="E41" s="61">
        <v>0.45</v>
      </c>
      <c r="F41" s="61">
        <v>0.8</v>
      </c>
      <c r="G41" s="61">
        <v>0.65</v>
      </c>
      <c r="H41" s="201"/>
      <c r="I41" s="201"/>
      <c r="J41" s="3" t="s">
        <v>299</v>
      </c>
      <c r="K41" s="160" t="s">
        <v>300</v>
      </c>
      <c r="L41" s="180"/>
    </row>
    <row r="42" spans="1:12" x14ac:dyDescent="0.25">
      <c r="A42" s="731"/>
      <c r="B42" s="149" t="s">
        <v>301</v>
      </c>
      <c r="C42" s="200">
        <f t="shared" ref="C42:H42" si="12">C40*(1-C41)</f>
        <v>2.2399999999999998</v>
      </c>
      <c r="D42" s="200">
        <f t="shared" si="12"/>
        <v>0.42524999999999985</v>
      </c>
      <c r="E42" s="200">
        <f t="shared" si="12"/>
        <v>0.11925760000000002</v>
      </c>
      <c r="F42" s="200">
        <f t="shared" si="12"/>
        <v>3.0374999999999988</v>
      </c>
      <c r="G42" s="200">
        <f t="shared" si="12"/>
        <v>0.82109999999999994</v>
      </c>
      <c r="H42" s="200">
        <f t="shared" si="12"/>
        <v>0</v>
      </c>
      <c r="I42" s="200">
        <f>SUM(C42:H42)</f>
        <v>6.6431075999999987</v>
      </c>
      <c r="J42" s="149" t="s">
        <v>302</v>
      </c>
      <c r="K42" s="161" t="s">
        <v>303</v>
      </c>
      <c r="L42" s="169" t="s">
        <v>304</v>
      </c>
    </row>
    <row r="43" spans="1:12" ht="29.25" x14ac:dyDescent="0.25">
      <c r="A43" s="731"/>
      <c r="B43" s="3" t="s">
        <v>305</v>
      </c>
      <c r="C43" s="61">
        <v>0.4</v>
      </c>
      <c r="D43" s="61">
        <v>0.2</v>
      </c>
      <c r="E43" s="61">
        <v>0</v>
      </c>
      <c r="F43" s="61">
        <v>0.2</v>
      </c>
      <c r="G43" s="61">
        <v>0.2</v>
      </c>
      <c r="H43" s="201"/>
      <c r="I43" s="201"/>
      <c r="J43" s="3" t="s">
        <v>306</v>
      </c>
      <c r="K43" s="160" t="s">
        <v>307</v>
      </c>
      <c r="L43" s="180"/>
    </row>
    <row r="44" spans="1:12" x14ac:dyDescent="0.25">
      <c r="A44" s="731"/>
      <c r="B44" s="3" t="s">
        <v>308</v>
      </c>
      <c r="C44" s="216">
        <f t="shared" ref="C44:H44" si="13">C42*(1-C43)</f>
        <v>1.3439999999999999</v>
      </c>
      <c r="D44" s="216">
        <f t="shared" si="13"/>
        <v>0.34019999999999989</v>
      </c>
      <c r="E44" s="216">
        <f t="shared" si="13"/>
        <v>0.11925760000000002</v>
      </c>
      <c r="F44" s="216">
        <f t="shared" si="13"/>
        <v>2.4299999999999993</v>
      </c>
      <c r="G44" s="216">
        <f t="shared" si="13"/>
        <v>0.65688000000000002</v>
      </c>
      <c r="H44" s="216">
        <f t="shared" si="13"/>
        <v>0</v>
      </c>
      <c r="I44" s="216">
        <f>SUM(C44:H44)</f>
        <v>4.8903375999999996</v>
      </c>
      <c r="J44" s="149" t="s">
        <v>309</v>
      </c>
      <c r="K44" s="161" t="s">
        <v>310</v>
      </c>
      <c r="L44" s="169" t="s">
        <v>311</v>
      </c>
    </row>
    <row r="45" spans="1:12" ht="29.25" x14ac:dyDescent="0.25">
      <c r="A45" s="731"/>
      <c r="B45" s="2" t="s">
        <v>312</v>
      </c>
      <c r="C45" s="56">
        <v>10</v>
      </c>
      <c r="D45" s="56">
        <v>10</v>
      </c>
      <c r="E45" s="56">
        <v>10</v>
      </c>
      <c r="F45" s="56">
        <v>10</v>
      </c>
      <c r="G45" s="56">
        <v>10</v>
      </c>
      <c r="H45" s="50"/>
      <c r="I45" s="50"/>
      <c r="J45" s="3" t="s">
        <v>313</v>
      </c>
      <c r="K45" s="160" t="s">
        <v>314</v>
      </c>
      <c r="L45" s="180"/>
    </row>
    <row r="46" spans="1:12" x14ac:dyDescent="0.25">
      <c r="A46" s="731"/>
      <c r="B46" s="149" t="s">
        <v>68</v>
      </c>
      <c r="C46" s="57">
        <f t="shared" ref="C46:H46" si="14">C45*C42</f>
        <v>22.4</v>
      </c>
      <c r="D46" s="57">
        <f t="shared" si="14"/>
        <v>4.2524999999999986</v>
      </c>
      <c r="E46" s="57">
        <f t="shared" si="14"/>
        <v>1.1925760000000003</v>
      </c>
      <c r="F46" s="57">
        <f t="shared" si="14"/>
        <v>30.374999999999986</v>
      </c>
      <c r="G46" s="57">
        <f t="shared" si="14"/>
        <v>8.2109999999999985</v>
      </c>
      <c r="H46" s="57">
        <f t="shared" si="14"/>
        <v>0</v>
      </c>
      <c r="I46" s="57">
        <f>SUM(C46:H46)</f>
        <v>66.431075999999976</v>
      </c>
      <c r="J46" s="149" t="s">
        <v>315</v>
      </c>
      <c r="K46" s="161" t="s">
        <v>316</v>
      </c>
      <c r="L46" s="169" t="s">
        <v>317</v>
      </c>
    </row>
    <row r="47" spans="1:12" ht="29.25" x14ac:dyDescent="0.25">
      <c r="A47" s="731"/>
      <c r="B47" s="149" t="s">
        <v>318</v>
      </c>
      <c r="C47" s="200">
        <f t="shared" ref="C47:H47" si="15">C44</f>
        <v>1.3439999999999999</v>
      </c>
      <c r="D47" s="200">
        <f t="shared" si="15"/>
        <v>0.34019999999999989</v>
      </c>
      <c r="E47" s="200">
        <f t="shared" si="15"/>
        <v>0.11925760000000002</v>
      </c>
      <c r="F47" s="200">
        <f t="shared" si="15"/>
        <v>2.4299999999999993</v>
      </c>
      <c r="G47" s="200">
        <f t="shared" si="15"/>
        <v>0.65688000000000002</v>
      </c>
      <c r="H47" s="200">
        <f t="shared" si="15"/>
        <v>0</v>
      </c>
      <c r="I47" s="200">
        <f>SUM(C47:H47)</f>
        <v>4.8903375999999996</v>
      </c>
      <c r="J47" s="149" t="s">
        <v>319</v>
      </c>
      <c r="K47" s="161" t="s">
        <v>310</v>
      </c>
      <c r="L47" s="169" t="s">
        <v>310</v>
      </c>
    </row>
    <row r="48" spans="1:12" x14ac:dyDescent="0.25">
      <c r="A48" s="731"/>
      <c r="B48" s="3" t="s">
        <v>320</v>
      </c>
      <c r="C48" s="56">
        <v>51</v>
      </c>
      <c r="D48" s="56">
        <v>51</v>
      </c>
      <c r="E48" s="56">
        <v>51</v>
      </c>
      <c r="F48" s="56">
        <v>51</v>
      </c>
      <c r="G48" s="56">
        <v>51</v>
      </c>
      <c r="H48" s="50"/>
      <c r="I48" s="50"/>
      <c r="J48" s="3" t="s">
        <v>321</v>
      </c>
      <c r="K48" s="160" t="s">
        <v>322</v>
      </c>
      <c r="L48" s="180"/>
    </row>
    <row r="49" spans="1:12" x14ac:dyDescent="0.25">
      <c r="A49" s="732"/>
      <c r="B49" s="149" t="s">
        <v>69</v>
      </c>
      <c r="C49" s="57">
        <f t="shared" ref="C49:H49" si="16">C47*C48</f>
        <v>68.543999999999997</v>
      </c>
      <c r="D49" s="57">
        <f t="shared" si="16"/>
        <v>17.350199999999994</v>
      </c>
      <c r="E49" s="57">
        <f t="shared" si="16"/>
        <v>6.0821376000000011</v>
      </c>
      <c r="F49" s="57">
        <f t="shared" si="16"/>
        <v>123.92999999999996</v>
      </c>
      <c r="G49" s="57">
        <f t="shared" si="16"/>
        <v>33.500880000000002</v>
      </c>
      <c r="H49" s="57">
        <f t="shared" si="16"/>
        <v>0</v>
      </c>
      <c r="I49" s="57">
        <f>SUM(C49:H49)</f>
        <v>249.40721759999994</v>
      </c>
      <c r="J49" s="149" t="s">
        <v>323</v>
      </c>
      <c r="K49" s="161" t="s">
        <v>324</v>
      </c>
      <c r="L49" s="169" t="s">
        <v>325</v>
      </c>
    </row>
    <row r="50" spans="1:12" ht="29.25" x14ac:dyDescent="0.25">
      <c r="A50" s="313"/>
      <c r="B50" s="149" t="s">
        <v>70</v>
      </c>
      <c r="C50" s="57">
        <f t="shared" ref="C50:H50" si="17">C49+C46+C38</f>
        <v>290.94399999999996</v>
      </c>
      <c r="D50" s="57">
        <f t="shared" si="17"/>
        <v>80.665199999999984</v>
      </c>
      <c r="E50" s="57">
        <f t="shared" si="17"/>
        <v>13.434713600000002</v>
      </c>
      <c r="F50" s="57">
        <f t="shared" si="17"/>
        <v>998.05499999999995</v>
      </c>
      <c r="G50" s="57">
        <f t="shared" si="17"/>
        <v>110.71188000000001</v>
      </c>
      <c r="H50" s="57">
        <f t="shared" si="17"/>
        <v>0</v>
      </c>
      <c r="I50" s="57">
        <f>SUM(C50:H50)</f>
        <v>1493.8107935999999</v>
      </c>
      <c r="J50" s="149" t="s">
        <v>326</v>
      </c>
      <c r="K50" s="161" t="s">
        <v>327</v>
      </c>
      <c r="L50" s="169" t="s">
        <v>328</v>
      </c>
    </row>
    <row r="51" spans="1:12" x14ac:dyDescent="0.25">
      <c r="A51" s="172"/>
      <c r="B51" s="177"/>
      <c r="C51" s="58"/>
      <c r="D51" s="5"/>
      <c r="E51" s="5"/>
      <c r="F51" s="5"/>
      <c r="G51" s="5"/>
      <c r="H51" s="5"/>
      <c r="I51" s="5"/>
      <c r="J51" s="150"/>
      <c r="K51" s="158"/>
      <c r="L51" s="181"/>
    </row>
    <row r="52" spans="1:12" ht="39" x14ac:dyDescent="0.25">
      <c r="A52" s="738" t="s">
        <v>24</v>
      </c>
      <c r="B52" s="54" t="s">
        <v>329</v>
      </c>
      <c r="C52" s="65"/>
      <c r="D52" s="51"/>
      <c r="E52" s="51"/>
      <c r="F52" s="51"/>
      <c r="G52" s="51"/>
      <c r="H52" s="51"/>
      <c r="I52" s="51"/>
      <c r="J52" s="151"/>
      <c r="K52" s="164"/>
      <c r="L52" s="182"/>
    </row>
    <row r="53" spans="1:12" ht="29.25" x14ac:dyDescent="0.25">
      <c r="A53" s="738"/>
      <c r="B53" s="2" t="s">
        <v>330</v>
      </c>
      <c r="C53" s="68">
        <v>24</v>
      </c>
      <c r="D53" s="68">
        <v>24</v>
      </c>
      <c r="E53" s="68">
        <v>24</v>
      </c>
      <c r="F53" s="68">
        <v>24</v>
      </c>
      <c r="G53" s="68">
        <v>24</v>
      </c>
      <c r="H53" s="203">
        <v>24</v>
      </c>
      <c r="I53" s="203">
        <v>24</v>
      </c>
      <c r="J53" s="3" t="s">
        <v>331</v>
      </c>
      <c r="K53" s="160" t="s">
        <v>332</v>
      </c>
      <c r="L53" s="180"/>
    </row>
    <row r="54" spans="1:12" x14ac:dyDescent="0.25">
      <c r="A54" s="738"/>
      <c r="B54" s="149" t="s">
        <v>333</v>
      </c>
      <c r="C54" s="200">
        <f t="shared" ref="C54:H54" si="18">C47</f>
        <v>1.3439999999999999</v>
      </c>
      <c r="D54" s="200">
        <f t="shared" si="18"/>
        <v>0.34019999999999989</v>
      </c>
      <c r="E54" s="200">
        <f t="shared" si="18"/>
        <v>0.11925760000000002</v>
      </c>
      <c r="F54" s="200">
        <f t="shared" si="18"/>
        <v>2.4299999999999993</v>
      </c>
      <c r="G54" s="200">
        <f t="shared" si="18"/>
        <v>0.65688000000000002</v>
      </c>
      <c r="H54" s="200">
        <f t="shared" si="18"/>
        <v>0</v>
      </c>
      <c r="I54" s="200">
        <f>SUM(C54:H54)</f>
        <v>4.8903375999999996</v>
      </c>
      <c r="J54" s="149" t="s">
        <v>616</v>
      </c>
      <c r="K54" s="161" t="s">
        <v>310</v>
      </c>
      <c r="L54" s="169" t="s">
        <v>310</v>
      </c>
    </row>
    <row r="55" spans="1:12" ht="29.25" x14ac:dyDescent="0.25">
      <c r="A55" s="738"/>
      <c r="B55" s="3" t="s">
        <v>335</v>
      </c>
      <c r="C55" s="56">
        <v>13</v>
      </c>
      <c r="D55" s="56">
        <v>13</v>
      </c>
      <c r="E55" s="56">
        <v>13</v>
      </c>
      <c r="F55" s="56">
        <v>13</v>
      </c>
      <c r="G55" s="56">
        <v>13</v>
      </c>
      <c r="H55" s="50"/>
      <c r="I55" s="50"/>
      <c r="J55" s="3" t="s">
        <v>336</v>
      </c>
      <c r="K55" s="160" t="s">
        <v>337</v>
      </c>
      <c r="L55" s="180"/>
    </row>
    <row r="56" spans="1:12" ht="29.25" x14ac:dyDescent="0.25">
      <c r="A56" s="738"/>
      <c r="B56" s="173" t="s">
        <v>338</v>
      </c>
      <c r="C56" s="57">
        <f t="shared" ref="C56:H56" si="19">C53*C54*C55</f>
        <v>419.32799999999997</v>
      </c>
      <c r="D56" s="57">
        <f t="shared" si="19"/>
        <v>106.14239999999997</v>
      </c>
      <c r="E56" s="57">
        <f t="shared" si="19"/>
        <v>37.208371200000009</v>
      </c>
      <c r="F56" s="57">
        <f t="shared" si="19"/>
        <v>758.15999999999974</v>
      </c>
      <c r="G56" s="57">
        <f t="shared" si="19"/>
        <v>204.94656000000001</v>
      </c>
      <c r="H56" s="57">
        <f t="shared" si="19"/>
        <v>0</v>
      </c>
      <c r="I56" s="57">
        <f>SUM(C56:H56)</f>
        <v>1525.7853311999997</v>
      </c>
      <c r="J56" s="149" t="s">
        <v>339</v>
      </c>
      <c r="K56" s="161" t="s">
        <v>340</v>
      </c>
      <c r="L56" s="169" t="s">
        <v>341</v>
      </c>
    </row>
    <row r="57" spans="1:12" ht="29.25" x14ac:dyDescent="0.25">
      <c r="A57" s="738"/>
      <c r="B57" s="256" t="s">
        <v>342</v>
      </c>
      <c r="C57" s="240"/>
      <c r="D57" s="240"/>
      <c r="E57" s="240"/>
      <c r="F57" s="240"/>
      <c r="G57" s="240"/>
      <c r="H57" s="241"/>
      <c r="I57" s="60">
        <v>1</v>
      </c>
      <c r="J57" s="3" t="s">
        <v>343</v>
      </c>
      <c r="K57" s="160" t="s">
        <v>344</v>
      </c>
      <c r="L57" s="180"/>
    </row>
    <row r="58" spans="1:12" x14ac:dyDescent="0.25">
      <c r="A58" s="738"/>
      <c r="B58" s="256" t="s">
        <v>345</v>
      </c>
      <c r="C58" s="143"/>
      <c r="D58" s="143"/>
      <c r="E58" s="143"/>
      <c r="F58" s="143"/>
      <c r="G58" s="143"/>
      <c r="H58" s="145"/>
      <c r="I58" s="56">
        <v>85</v>
      </c>
      <c r="J58" s="3" t="s">
        <v>346</v>
      </c>
      <c r="K58" s="160" t="s">
        <v>347</v>
      </c>
      <c r="L58" s="180"/>
    </row>
    <row r="59" spans="1:12" x14ac:dyDescent="0.25">
      <c r="A59" s="739"/>
      <c r="B59" s="256" t="s">
        <v>348</v>
      </c>
      <c r="C59" s="143"/>
      <c r="D59" s="143"/>
      <c r="E59" s="143"/>
      <c r="F59" s="143"/>
      <c r="G59" s="143"/>
      <c r="H59" s="143"/>
      <c r="I59" s="257">
        <f>I57*I58*I53</f>
        <v>2040</v>
      </c>
      <c r="J59" s="149" t="s">
        <v>349</v>
      </c>
      <c r="K59" s="161" t="s">
        <v>350</v>
      </c>
      <c r="L59" s="169" t="s">
        <v>351</v>
      </c>
    </row>
    <row r="60" spans="1:12" ht="33" customHeight="1" x14ac:dyDescent="0.25">
      <c r="A60" s="309"/>
      <c r="B60" s="149" t="s">
        <v>352</v>
      </c>
      <c r="C60" s="57">
        <f>I59/I116</f>
        <v>408</v>
      </c>
      <c r="D60" s="57">
        <f>I59/I116</f>
        <v>408</v>
      </c>
      <c r="E60" s="57">
        <f>I59/I116</f>
        <v>408</v>
      </c>
      <c r="F60" s="57">
        <f>I59/I116</f>
        <v>408</v>
      </c>
      <c r="G60" s="57">
        <f>I59/I116</f>
        <v>408</v>
      </c>
      <c r="H60" s="57"/>
      <c r="I60" s="57">
        <f>SUM(C60:H60)</f>
        <v>2040</v>
      </c>
      <c r="J60" s="149" t="s">
        <v>353</v>
      </c>
      <c r="K60" s="161" t="s">
        <v>350</v>
      </c>
      <c r="L60" s="169"/>
    </row>
    <row r="61" spans="1:12" x14ac:dyDescent="0.25">
      <c r="A61" s="313"/>
      <c r="B61" s="149" t="s">
        <v>73</v>
      </c>
      <c r="C61" s="57">
        <f t="shared" ref="C61:H61" si="20">C60+C56</f>
        <v>827.32799999999997</v>
      </c>
      <c r="D61" s="57">
        <f t="shared" si="20"/>
        <v>514.14239999999995</v>
      </c>
      <c r="E61" s="57">
        <f t="shared" si="20"/>
        <v>445.20837119999999</v>
      </c>
      <c r="F61" s="57">
        <f t="shared" si="20"/>
        <v>1166.1599999999999</v>
      </c>
      <c r="G61" s="57">
        <f t="shared" si="20"/>
        <v>612.94655999999998</v>
      </c>
      <c r="H61" s="57">
        <f t="shared" si="20"/>
        <v>0</v>
      </c>
      <c r="I61" s="57">
        <f>SUM(C61:H61)</f>
        <v>3565.7853311999997</v>
      </c>
      <c r="J61" s="149" t="s">
        <v>354</v>
      </c>
      <c r="K61" s="161" t="s">
        <v>355</v>
      </c>
      <c r="L61" s="169" t="s">
        <v>356</v>
      </c>
    </row>
    <row r="62" spans="1:12" x14ac:dyDescent="0.25">
      <c r="A62" s="172"/>
      <c r="B62" s="172"/>
      <c r="C62" s="66"/>
      <c r="D62" s="67"/>
      <c r="E62" s="67"/>
      <c r="F62" s="67"/>
      <c r="G62" s="67"/>
      <c r="H62" s="5"/>
      <c r="I62" s="5"/>
      <c r="J62" s="153"/>
      <c r="K62" s="163"/>
      <c r="L62" s="181"/>
    </row>
    <row r="63" spans="1:12" ht="64.5" x14ac:dyDescent="0.25">
      <c r="A63" s="731" t="s">
        <v>357</v>
      </c>
      <c r="B63" s="54" t="s">
        <v>358</v>
      </c>
      <c r="C63" s="65"/>
      <c r="D63" s="51"/>
      <c r="E63" s="51"/>
      <c r="F63" s="51"/>
      <c r="G63" s="51"/>
      <c r="H63" s="51"/>
      <c r="I63" s="51"/>
      <c r="J63" s="151"/>
      <c r="K63" s="164"/>
      <c r="L63" s="182"/>
    </row>
    <row r="64" spans="1:12" ht="29.25" x14ac:dyDescent="0.25">
      <c r="A64" s="731"/>
      <c r="B64" s="3" t="s">
        <v>359</v>
      </c>
      <c r="C64" s="204">
        <v>6000</v>
      </c>
      <c r="D64" s="205">
        <v>4000</v>
      </c>
      <c r="E64" s="205">
        <v>8000</v>
      </c>
      <c r="F64" s="205">
        <v>4000</v>
      </c>
      <c r="G64" s="205">
        <v>8000</v>
      </c>
      <c r="H64" s="206"/>
      <c r="I64" s="206"/>
      <c r="J64" s="3" t="s">
        <v>360</v>
      </c>
      <c r="K64" s="160" t="s">
        <v>361</v>
      </c>
      <c r="L64" s="180"/>
    </row>
    <row r="65" spans="1:12" x14ac:dyDescent="0.25">
      <c r="A65" s="731"/>
      <c r="B65" s="149" t="s">
        <v>362</v>
      </c>
      <c r="C65" s="200">
        <f t="shared" ref="C65:H65" si="21">C47</f>
        <v>1.3439999999999999</v>
      </c>
      <c r="D65" s="200">
        <f t="shared" si="21"/>
        <v>0.34019999999999989</v>
      </c>
      <c r="E65" s="200">
        <f t="shared" si="21"/>
        <v>0.11925760000000002</v>
      </c>
      <c r="F65" s="200">
        <f t="shared" si="21"/>
        <v>2.4299999999999993</v>
      </c>
      <c r="G65" s="200">
        <f t="shared" si="21"/>
        <v>0.65688000000000002</v>
      </c>
      <c r="H65" s="200">
        <f t="shared" si="21"/>
        <v>0</v>
      </c>
      <c r="I65" s="200">
        <f>SUM(C65:H65)</f>
        <v>4.8903375999999996</v>
      </c>
      <c r="J65" s="149" t="s">
        <v>363</v>
      </c>
      <c r="K65" s="161" t="s">
        <v>310</v>
      </c>
      <c r="L65" s="169" t="s">
        <v>364</v>
      </c>
    </row>
    <row r="66" spans="1:12" ht="29.25" x14ac:dyDescent="0.25">
      <c r="A66" s="731"/>
      <c r="B66" s="149" t="s">
        <v>365</v>
      </c>
      <c r="C66" s="207">
        <f t="shared" ref="C66:H66" si="22">C64*C65</f>
        <v>8063.9999999999991</v>
      </c>
      <c r="D66" s="207">
        <f t="shared" si="22"/>
        <v>1360.7999999999995</v>
      </c>
      <c r="E66" s="207">
        <f t="shared" si="22"/>
        <v>954.0608000000002</v>
      </c>
      <c r="F66" s="207">
        <f t="shared" si="22"/>
        <v>9719.9999999999964</v>
      </c>
      <c r="G66" s="207">
        <f t="shared" si="22"/>
        <v>5255.04</v>
      </c>
      <c r="H66" s="207">
        <f t="shared" si="22"/>
        <v>0</v>
      </c>
      <c r="I66" s="207">
        <f>SUM(C66:H66)</f>
        <v>25353.900799999996</v>
      </c>
      <c r="J66" s="149" t="s">
        <v>366</v>
      </c>
      <c r="K66" s="161" t="s">
        <v>367</v>
      </c>
      <c r="L66" s="184" t="s">
        <v>368</v>
      </c>
    </row>
    <row r="67" spans="1:12" x14ac:dyDescent="0.25">
      <c r="A67" s="172"/>
      <c r="B67" s="172"/>
      <c r="C67" s="66"/>
      <c r="D67" s="67"/>
      <c r="E67" s="67"/>
      <c r="F67" s="67"/>
      <c r="G67" s="67"/>
      <c r="H67" s="5"/>
      <c r="I67" s="5"/>
      <c r="J67" s="153"/>
      <c r="K67" s="163"/>
      <c r="L67" s="181"/>
    </row>
    <row r="68" spans="1:12" ht="26.25" x14ac:dyDescent="0.25">
      <c r="A68" s="731" t="s">
        <v>32</v>
      </c>
      <c r="B68" s="54" t="s">
        <v>617</v>
      </c>
      <c r="C68" s="65"/>
      <c r="D68" s="51"/>
      <c r="E68" s="51"/>
      <c r="F68" s="51"/>
      <c r="G68" s="51"/>
      <c r="H68" s="51"/>
      <c r="I68" s="51"/>
      <c r="J68" s="151"/>
      <c r="K68" s="170"/>
      <c r="L68" s="182"/>
    </row>
    <row r="69" spans="1:12" ht="29.25" x14ac:dyDescent="0.25">
      <c r="A69" s="731"/>
      <c r="B69" s="149" t="s">
        <v>365</v>
      </c>
      <c r="C69" s="207">
        <f t="shared" ref="C69:H69" si="23">C64*C65</f>
        <v>8063.9999999999991</v>
      </c>
      <c r="D69" s="207">
        <f t="shared" si="23"/>
        <v>1360.7999999999995</v>
      </c>
      <c r="E69" s="207">
        <f t="shared" si="23"/>
        <v>954.0608000000002</v>
      </c>
      <c r="F69" s="207">
        <f t="shared" si="23"/>
        <v>9719.9999999999964</v>
      </c>
      <c r="G69" s="207">
        <f t="shared" si="23"/>
        <v>5255.04</v>
      </c>
      <c r="H69" s="207">
        <f t="shared" si="23"/>
        <v>0</v>
      </c>
      <c r="I69" s="207">
        <f>SUM(C69:H69)</f>
        <v>25353.900799999996</v>
      </c>
      <c r="J69" s="149" t="s">
        <v>366</v>
      </c>
      <c r="K69" s="161" t="s">
        <v>367</v>
      </c>
      <c r="L69" s="184" t="s">
        <v>368</v>
      </c>
    </row>
    <row r="70" spans="1:12" ht="43.5" x14ac:dyDescent="0.25">
      <c r="A70" s="731"/>
      <c r="B70" s="3" t="s">
        <v>464</v>
      </c>
      <c r="C70" s="208">
        <v>50</v>
      </c>
      <c r="D70" s="209">
        <v>40</v>
      </c>
      <c r="E70" s="209">
        <v>40</v>
      </c>
      <c r="F70" s="209">
        <v>40</v>
      </c>
      <c r="G70" s="209">
        <v>50</v>
      </c>
      <c r="H70" s="205"/>
      <c r="I70" s="205"/>
      <c r="J70" s="3" t="s">
        <v>465</v>
      </c>
      <c r="K70" s="168" t="s">
        <v>406</v>
      </c>
      <c r="L70" s="185"/>
    </row>
    <row r="71" spans="1:12" ht="29.25" x14ac:dyDescent="0.25">
      <c r="A71" s="731"/>
      <c r="B71" s="3" t="s">
        <v>467</v>
      </c>
      <c r="C71" s="56">
        <v>45</v>
      </c>
      <c r="D71" s="56">
        <v>45</v>
      </c>
      <c r="E71" s="56">
        <v>45</v>
      </c>
      <c r="F71" s="56">
        <v>45</v>
      </c>
      <c r="G71" s="56">
        <v>45</v>
      </c>
      <c r="H71" s="50"/>
      <c r="I71" s="50"/>
      <c r="J71" s="3" t="s">
        <v>468</v>
      </c>
      <c r="K71" s="160" t="s">
        <v>408</v>
      </c>
      <c r="L71" s="180"/>
    </row>
    <row r="72" spans="1:12" x14ac:dyDescent="0.25">
      <c r="A72" s="731"/>
      <c r="B72" s="178" t="s">
        <v>470</v>
      </c>
      <c r="C72" s="57">
        <f>(C69/C70)*C71</f>
        <v>7257.5999999999985</v>
      </c>
      <c r="D72" s="57">
        <f>(D69/D70)*D71</f>
        <v>1530.8999999999994</v>
      </c>
      <c r="E72" s="57">
        <f>(E69/E70)*E71</f>
        <v>1073.3184000000001</v>
      </c>
      <c r="F72" s="57">
        <f>(F69/F70)*F71</f>
        <v>10934.999999999996</v>
      </c>
      <c r="G72" s="57">
        <f>(G69/G70)*G71</f>
        <v>4729.5360000000001</v>
      </c>
      <c r="H72" s="57">
        <f>IF(H70,H69/H70,0)*H71</f>
        <v>0</v>
      </c>
      <c r="I72" s="57">
        <f>SUM(C72:H72)</f>
        <v>25526.354399999997</v>
      </c>
      <c r="J72" s="149" t="s">
        <v>471</v>
      </c>
      <c r="K72" s="161" t="s">
        <v>372</v>
      </c>
      <c r="L72" s="169" t="s">
        <v>618</v>
      </c>
    </row>
    <row r="73" spans="1:12" ht="29.25" x14ac:dyDescent="0.25">
      <c r="A73" s="731"/>
      <c r="B73" s="3" t="s">
        <v>474</v>
      </c>
      <c r="C73" s="61">
        <v>0.4</v>
      </c>
      <c r="D73" s="61">
        <v>0.4</v>
      </c>
      <c r="E73" s="61">
        <v>0.4</v>
      </c>
      <c r="F73" s="61">
        <v>0.4</v>
      </c>
      <c r="G73" s="61">
        <v>0.4</v>
      </c>
      <c r="H73" s="201"/>
      <c r="I73" s="201"/>
      <c r="J73" s="3" t="s">
        <v>619</v>
      </c>
      <c r="K73" s="160" t="s">
        <v>410</v>
      </c>
      <c r="L73" s="180"/>
    </row>
    <row r="74" spans="1:12" ht="43.5" x14ac:dyDescent="0.25">
      <c r="A74" s="731"/>
      <c r="B74" s="149" t="s">
        <v>477</v>
      </c>
      <c r="C74" s="59">
        <f t="shared" ref="C74:H74" si="24">C69*C73</f>
        <v>3225.6</v>
      </c>
      <c r="D74" s="59">
        <f t="shared" si="24"/>
        <v>544.31999999999982</v>
      </c>
      <c r="E74" s="59">
        <f t="shared" si="24"/>
        <v>381.62432000000013</v>
      </c>
      <c r="F74" s="59">
        <f t="shared" si="24"/>
        <v>3887.9999999999986</v>
      </c>
      <c r="G74" s="59">
        <f t="shared" si="24"/>
        <v>2102.0160000000001</v>
      </c>
      <c r="H74" s="59">
        <f t="shared" si="24"/>
        <v>0</v>
      </c>
      <c r="I74" s="59">
        <f>SUM(C74:H74)</f>
        <v>10141.560319999999</v>
      </c>
      <c r="J74" s="149" t="s">
        <v>478</v>
      </c>
      <c r="K74" s="161" t="s">
        <v>375</v>
      </c>
      <c r="L74" s="169" t="s">
        <v>620</v>
      </c>
    </row>
    <row r="75" spans="1:12" ht="52.9" customHeight="1" x14ac:dyDescent="0.25">
      <c r="A75" s="731"/>
      <c r="B75" s="2" t="s">
        <v>481</v>
      </c>
      <c r="C75" s="60">
        <v>3000</v>
      </c>
      <c r="D75" s="60">
        <v>500</v>
      </c>
      <c r="E75" s="60">
        <v>350</v>
      </c>
      <c r="F75" s="60">
        <v>3500</v>
      </c>
      <c r="G75" s="60">
        <v>2000</v>
      </c>
      <c r="H75" s="197">
        <v>0</v>
      </c>
      <c r="I75" s="196">
        <f>SUM(C75:H75)</f>
        <v>9350</v>
      </c>
      <c r="J75" s="3" t="s">
        <v>621</v>
      </c>
      <c r="K75" s="168" t="s">
        <v>435</v>
      </c>
      <c r="L75" s="186"/>
    </row>
    <row r="76" spans="1:12" ht="29.25" x14ac:dyDescent="0.25">
      <c r="A76" s="731"/>
      <c r="B76" s="3" t="s">
        <v>484</v>
      </c>
      <c r="C76" s="208">
        <v>45</v>
      </c>
      <c r="D76" s="209">
        <v>36</v>
      </c>
      <c r="E76" s="209">
        <v>36</v>
      </c>
      <c r="F76" s="209">
        <v>36</v>
      </c>
      <c r="G76" s="209">
        <v>45</v>
      </c>
      <c r="H76" s="205"/>
      <c r="I76" s="205"/>
      <c r="J76" s="3" t="s">
        <v>485</v>
      </c>
      <c r="K76" s="160" t="s">
        <v>440</v>
      </c>
      <c r="L76" s="180"/>
    </row>
    <row r="77" spans="1:12" ht="29.25" x14ac:dyDescent="0.25">
      <c r="A77" s="731"/>
      <c r="B77" s="3" t="s">
        <v>487</v>
      </c>
      <c r="C77" s="56">
        <v>300</v>
      </c>
      <c r="D77" s="56">
        <v>300</v>
      </c>
      <c r="E77" s="56">
        <v>300</v>
      </c>
      <c r="F77" s="56">
        <v>300</v>
      </c>
      <c r="G77" s="56">
        <v>300</v>
      </c>
      <c r="H77" s="50"/>
      <c r="I77" s="50"/>
      <c r="J77" s="3" t="s">
        <v>488</v>
      </c>
      <c r="K77" s="168" t="s">
        <v>451</v>
      </c>
      <c r="L77" s="186"/>
    </row>
    <row r="78" spans="1:12" x14ac:dyDescent="0.25">
      <c r="A78" s="731"/>
      <c r="B78" s="173" t="s">
        <v>490</v>
      </c>
      <c r="C78" s="57">
        <f>(C75/C76)*C77</f>
        <v>20000</v>
      </c>
      <c r="D78" s="57">
        <f>(D75/D76)*D77</f>
        <v>4166.666666666667</v>
      </c>
      <c r="E78" s="57">
        <f>(E75/E76)*E77</f>
        <v>2916.6666666666665</v>
      </c>
      <c r="F78" s="57">
        <f>(F75/F76)*F77</f>
        <v>29166.666666666668</v>
      </c>
      <c r="G78" s="57">
        <f>(G75/G76)*G77</f>
        <v>13333.333333333332</v>
      </c>
      <c r="H78" s="57">
        <f>IF(H76,H75/H76,0)*H77</f>
        <v>0</v>
      </c>
      <c r="I78" s="57">
        <f>SUM(C78:H78)</f>
        <v>69583.333333333328</v>
      </c>
      <c r="J78" s="149" t="s">
        <v>491</v>
      </c>
      <c r="K78" s="161" t="s">
        <v>383</v>
      </c>
      <c r="L78" s="169" t="s">
        <v>622</v>
      </c>
    </row>
    <row r="79" spans="1:12" ht="29.25" x14ac:dyDescent="0.25">
      <c r="A79" s="731"/>
      <c r="B79" s="221" t="s">
        <v>494</v>
      </c>
      <c r="C79" s="61">
        <v>0.9</v>
      </c>
      <c r="D79" s="61">
        <v>0.9</v>
      </c>
      <c r="E79" s="61">
        <v>0.9</v>
      </c>
      <c r="F79" s="61">
        <v>0.9</v>
      </c>
      <c r="G79" s="61">
        <v>0.9</v>
      </c>
      <c r="H79" s="201"/>
      <c r="I79" s="201"/>
      <c r="J79" s="3" t="s">
        <v>623</v>
      </c>
      <c r="K79" s="160" t="s">
        <v>466</v>
      </c>
      <c r="L79" s="187"/>
    </row>
    <row r="80" spans="1:12" ht="43.5" x14ac:dyDescent="0.25">
      <c r="A80" s="731"/>
      <c r="B80" s="2" t="s">
        <v>497</v>
      </c>
      <c r="C80" s="59">
        <f t="shared" ref="C80:H80" si="25">(C74*C79)</f>
        <v>2903.04</v>
      </c>
      <c r="D80" s="59">
        <f t="shared" si="25"/>
        <v>489.88799999999986</v>
      </c>
      <c r="E80" s="59">
        <f t="shared" si="25"/>
        <v>343.4618880000001</v>
      </c>
      <c r="F80" s="59">
        <f t="shared" si="25"/>
        <v>3499.1999999999989</v>
      </c>
      <c r="G80" s="59">
        <f t="shared" si="25"/>
        <v>1891.8144000000002</v>
      </c>
      <c r="H80" s="59">
        <f t="shared" si="25"/>
        <v>0</v>
      </c>
      <c r="I80" s="59">
        <f>SUM(C80:H80)</f>
        <v>9127.4042879999979</v>
      </c>
      <c r="J80" s="149" t="s">
        <v>498</v>
      </c>
      <c r="K80" s="161" t="s">
        <v>387</v>
      </c>
      <c r="L80" s="169" t="s">
        <v>624</v>
      </c>
    </row>
    <row r="81" spans="1:12" ht="35.65" customHeight="1" x14ac:dyDescent="0.25">
      <c r="A81" s="731"/>
      <c r="B81" s="3" t="s">
        <v>501</v>
      </c>
      <c r="C81" s="61">
        <v>0.1</v>
      </c>
      <c r="D81" s="61">
        <v>0.1</v>
      </c>
      <c r="E81" s="61">
        <v>0.1</v>
      </c>
      <c r="F81" s="61">
        <v>0.1</v>
      </c>
      <c r="G81" s="61">
        <v>0.1</v>
      </c>
      <c r="H81" s="201"/>
      <c r="I81" s="201"/>
      <c r="J81" s="3" t="s">
        <v>502</v>
      </c>
      <c r="K81" s="160" t="s">
        <v>483</v>
      </c>
      <c r="L81" s="180"/>
    </row>
    <row r="82" spans="1:12" ht="29.25" x14ac:dyDescent="0.25">
      <c r="A82" s="731"/>
      <c r="B82" s="149" t="s">
        <v>625</v>
      </c>
      <c r="C82" s="59">
        <f t="shared" ref="C82:H82" si="26">C80*C81</f>
        <v>290.30400000000003</v>
      </c>
      <c r="D82" s="59">
        <f t="shared" si="26"/>
        <v>48.988799999999991</v>
      </c>
      <c r="E82" s="59">
        <f t="shared" si="26"/>
        <v>34.346188800000014</v>
      </c>
      <c r="F82" s="59">
        <f t="shared" si="26"/>
        <v>349.9199999999999</v>
      </c>
      <c r="G82" s="59">
        <f t="shared" si="26"/>
        <v>189.18144000000004</v>
      </c>
      <c r="H82" s="59">
        <f t="shared" si="26"/>
        <v>0</v>
      </c>
      <c r="I82" s="59">
        <f>SUM(C82:H82)</f>
        <v>912.74042880000002</v>
      </c>
      <c r="J82" s="149" t="s">
        <v>505</v>
      </c>
      <c r="K82" s="161" t="s">
        <v>403</v>
      </c>
      <c r="L82" s="169" t="s">
        <v>626</v>
      </c>
    </row>
    <row r="83" spans="1:12" ht="29.25" x14ac:dyDescent="0.25">
      <c r="A83" s="731"/>
      <c r="B83" s="3" t="s">
        <v>508</v>
      </c>
      <c r="C83" s="208">
        <v>40</v>
      </c>
      <c r="D83" s="208">
        <v>40</v>
      </c>
      <c r="E83" s="208">
        <v>40</v>
      </c>
      <c r="F83" s="208">
        <v>40</v>
      </c>
      <c r="G83" s="208">
        <v>40</v>
      </c>
      <c r="H83" s="205"/>
      <c r="I83" s="205"/>
      <c r="J83" s="3" t="s">
        <v>485</v>
      </c>
      <c r="K83" s="160" t="s">
        <v>496</v>
      </c>
      <c r="L83" s="180"/>
    </row>
    <row r="84" spans="1:12" ht="29.25" x14ac:dyDescent="0.25">
      <c r="A84" s="731"/>
      <c r="B84" s="3" t="s">
        <v>510</v>
      </c>
      <c r="C84" s="56">
        <v>300</v>
      </c>
      <c r="D84" s="56">
        <v>300</v>
      </c>
      <c r="E84" s="56">
        <v>300</v>
      </c>
      <c r="F84" s="56">
        <v>300</v>
      </c>
      <c r="G84" s="56">
        <v>300</v>
      </c>
      <c r="H84" s="50"/>
      <c r="I84" s="50"/>
      <c r="J84" s="3" t="s">
        <v>488</v>
      </c>
      <c r="K84" s="160" t="s">
        <v>503</v>
      </c>
      <c r="L84" s="180"/>
    </row>
    <row r="85" spans="1:12" ht="30" x14ac:dyDescent="0.25">
      <c r="A85" s="731"/>
      <c r="B85" s="173" t="s">
        <v>512</v>
      </c>
      <c r="C85" s="57">
        <f>(C82/C83)*C84</f>
        <v>2177.2800000000002</v>
      </c>
      <c r="D85" s="57">
        <f>(D82/D83)*D84</f>
        <v>367.41599999999994</v>
      </c>
      <c r="E85" s="57">
        <f>(E82/E83)*E84</f>
        <v>257.59641600000009</v>
      </c>
      <c r="F85" s="57">
        <f>(F82/F83)*F84</f>
        <v>2624.3999999999992</v>
      </c>
      <c r="G85" s="57">
        <f>(G82/G83)*G84</f>
        <v>1418.8608000000004</v>
      </c>
      <c r="H85" s="57">
        <f>IF(H83,H82/H83,0)*H84</f>
        <v>0</v>
      </c>
      <c r="I85" s="57">
        <f>SUM(C85:H85)</f>
        <v>6845.5532160000002</v>
      </c>
      <c r="J85" s="149" t="s">
        <v>513</v>
      </c>
      <c r="K85" s="162" t="s">
        <v>415</v>
      </c>
      <c r="L85" s="169" t="s">
        <v>627</v>
      </c>
    </row>
    <row r="86" spans="1:12" ht="29.25" x14ac:dyDescent="0.25">
      <c r="A86" s="731"/>
      <c r="B86" s="3" t="s">
        <v>516</v>
      </c>
      <c r="C86" s="61">
        <v>0.2</v>
      </c>
      <c r="D86" s="61">
        <v>0.2</v>
      </c>
      <c r="E86" s="61">
        <v>0.2</v>
      </c>
      <c r="F86" s="61">
        <v>0.2</v>
      </c>
      <c r="G86" s="61">
        <v>0.2</v>
      </c>
      <c r="H86" s="201"/>
      <c r="I86" s="201"/>
      <c r="J86" s="3" t="s">
        <v>517</v>
      </c>
      <c r="K86" s="160" t="s">
        <v>509</v>
      </c>
      <c r="L86" s="180"/>
    </row>
    <row r="87" spans="1:12" ht="29.25" x14ac:dyDescent="0.25">
      <c r="A87" s="731"/>
      <c r="B87" s="149" t="s">
        <v>519</v>
      </c>
      <c r="C87" s="59">
        <f t="shared" ref="C87:H87" si="27">C82*C86</f>
        <v>58.060800000000008</v>
      </c>
      <c r="D87" s="59">
        <f t="shared" si="27"/>
        <v>9.7977599999999985</v>
      </c>
      <c r="E87" s="59">
        <f t="shared" si="27"/>
        <v>6.8692377600000034</v>
      </c>
      <c r="F87" s="59">
        <f t="shared" si="27"/>
        <v>69.98399999999998</v>
      </c>
      <c r="G87" s="59">
        <f t="shared" si="27"/>
        <v>37.83628800000001</v>
      </c>
      <c r="H87" s="59">
        <f t="shared" si="27"/>
        <v>0</v>
      </c>
      <c r="I87" s="59"/>
      <c r="J87" s="149" t="s">
        <v>520</v>
      </c>
      <c r="K87" s="161" t="s">
        <v>425</v>
      </c>
      <c r="L87" s="169" t="s">
        <v>628</v>
      </c>
    </row>
    <row r="88" spans="1:12" ht="29.25" x14ac:dyDescent="0.25">
      <c r="A88" s="731"/>
      <c r="B88" s="3" t="s">
        <v>523</v>
      </c>
      <c r="C88" s="208">
        <v>20</v>
      </c>
      <c r="D88" s="208">
        <v>20</v>
      </c>
      <c r="E88" s="208">
        <v>20</v>
      </c>
      <c r="F88" s="208">
        <v>20</v>
      </c>
      <c r="G88" s="208">
        <v>20</v>
      </c>
      <c r="H88" s="205"/>
      <c r="I88" s="205"/>
      <c r="J88" s="3" t="s">
        <v>485</v>
      </c>
      <c r="K88" s="160" t="s">
        <v>518</v>
      </c>
      <c r="L88" s="180"/>
    </row>
    <row r="89" spans="1:12" ht="29.25" x14ac:dyDescent="0.25">
      <c r="A89" s="731"/>
      <c r="B89" s="3" t="s">
        <v>525</v>
      </c>
      <c r="C89" s="56">
        <v>300</v>
      </c>
      <c r="D89" s="56">
        <v>300</v>
      </c>
      <c r="E89" s="56">
        <v>300</v>
      </c>
      <c r="F89" s="56">
        <v>300</v>
      </c>
      <c r="G89" s="56">
        <v>300</v>
      </c>
      <c r="H89" s="50"/>
      <c r="I89" s="50"/>
      <c r="J89" s="3" t="s">
        <v>488</v>
      </c>
      <c r="K89" s="160" t="s">
        <v>524</v>
      </c>
      <c r="L89" s="180"/>
    </row>
    <row r="90" spans="1:12" ht="26.25" x14ac:dyDescent="0.25">
      <c r="A90" s="732"/>
      <c r="B90" s="173" t="s">
        <v>527</v>
      </c>
      <c r="C90" s="57">
        <f>(C87/C88)*C89</f>
        <v>870.91200000000003</v>
      </c>
      <c r="D90" s="57">
        <f>(D87/D88)*D89</f>
        <v>146.96639999999999</v>
      </c>
      <c r="E90" s="57">
        <f>(E87/E88)*E89</f>
        <v>103.03856640000005</v>
      </c>
      <c r="F90" s="57">
        <f>(F87/F88)*F89</f>
        <v>1049.7599999999998</v>
      </c>
      <c r="G90" s="57">
        <f>(G87/G88)*G89</f>
        <v>567.5443200000002</v>
      </c>
      <c r="H90" s="57">
        <f>IF(H88,H87/H88,0)*H89</f>
        <v>0</v>
      </c>
      <c r="I90" s="57">
        <f>SUM(C90:H90)</f>
        <v>2738.2212864000003</v>
      </c>
      <c r="J90" s="149" t="s">
        <v>528</v>
      </c>
      <c r="K90" s="161" t="s">
        <v>428</v>
      </c>
      <c r="L90" s="169" t="s">
        <v>629</v>
      </c>
    </row>
    <row r="91" spans="1:12" ht="26.25" x14ac:dyDescent="0.25">
      <c r="A91" s="314"/>
      <c r="B91" s="149" t="s">
        <v>79</v>
      </c>
      <c r="C91" s="57">
        <f t="shared" ref="C91:H91" si="28">C90+C85+C78+C72</f>
        <v>30305.791999999998</v>
      </c>
      <c r="D91" s="57">
        <f t="shared" si="28"/>
        <v>6211.9490666666661</v>
      </c>
      <c r="E91" s="57">
        <f t="shared" si="28"/>
        <v>4350.620049066667</v>
      </c>
      <c r="F91" s="57">
        <f t="shared" si="28"/>
        <v>43775.82666666666</v>
      </c>
      <c r="G91" s="57">
        <f t="shared" si="28"/>
        <v>20049.274453333332</v>
      </c>
      <c r="H91" s="57">
        <f t="shared" si="28"/>
        <v>0</v>
      </c>
      <c r="I91" s="57">
        <f>SUM(C91:H91)</f>
        <v>104693.46223573333</v>
      </c>
      <c r="J91" s="149" t="s">
        <v>531</v>
      </c>
      <c r="K91" s="162" t="s">
        <v>432</v>
      </c>
      <c r="L91" s="169" t="s">
        <v>630</v>
      </c>
    </row>
    <row r="92" spans="1:12" x14ac:dyDescent="0.25">
      <c r="A92" s="172"/>
      <c r="B92" s="179"/>
      <c r="C92" s="136"/>
      <c r="D92" s="5"/>
      <c r="E92" s="5"/>
      <c r="F92" s="5"/>
      <c r="G92" s="5"/>
      <c r="H92" s="5"/>
      <c r="I92" s="5"/>
      <c r="J92" s="154"/>
      <c r="K92" s="159"/>
      <c r="L92" s="188"/>
    </row>
    <row r="93" spans="1:12" ht="26.25" x14ac:dyDescent="0.25">
      <c r="A93" s="731" t="s">
        <v>33</v>
      </c>
      <c r="B93" s="54" t="s">
        <v>534</v>
      </c>
      <c r="C93" s="65"/>
      <c r="D93" s="51"/>
      <c r="E93" s="51"/>
      <c r="F93" s="51"/>
      <c r="G93" s="51"/>
      <c r="H93" s="51"/>
      <c r="I93" s="51"/>
      <c r="J93" s="151"/>
      <c r="K93" s="167"/>
      <c r="L93" s="171"/>
    </row>
    <row r="94" spans="1:12" ht="29.25" x14ac:dyDescent="0.25">
      <c r="A94" s="731"/>
      <c r="B94" s="3" t="s">
        <v>535</v>
      </c>
      <c r="C94" s="267">
        <f t="shared" ref="C94:H94" si="29">(C80-C82)+C87</f>
        <v>2670.7968000000001</v>
      </c>
      <c r="D94" s="267">
        <f t="shared" si="29"/>
        <v>450.69695999999988</v>
      </c>
      <c r="E94" s="267">
        <f t="shared" si="29"/>
        <v>315.98493696000008</v>
      </c>
      <c r="F94" s="267">
        <f t="shared" si="29"/>
        <v>3219.2639999999988</v>
      </c>
      <c r="G94" s="267">
        <f t="shared" si="29"/>
        <v>1740.4692480000001</v>
      </c>
      <c r="H94" s="267">
        <f t="shared" si="29"/>
        <v>0</v>
      </c>
      <c r="I94" s="268">
        <f>SUM(C94:H94)</f>
        <v>8397.2119449599977</v>
      </c>
      <c r="J94" s="149" t="s">
        <v>631</v>
      </c>
      <c r="K94" s="166" t="s">
        <v>545</v>
      </c>
      <c r="L94" s="180" t="s">
        <v>632</v>
      </c>
    </row>
    <row r="95" spans="1:12" x14ac:dyDescent="0.25">
      <c r="A95" s="731"/>
      <c r="B95" s="149" t="s">
        <v>539</v>
      </c>
      <c r="C95" s="200">
        <f>C94/C64</f>
        <v>0.4451328</v>
      </c>
      <c r="D95" s="200">
        <f>D94/D64</f>
        <v>0.11267423999999997</v>
      </c>
      <c r="E95" s="200">
        <f>E94/E64</f>
        <v>3.9498117120000009E-2</v>
      </c>
      <c r="F95" s="200">
        <f>F94/F64</f>
        <v>0.80481599999999964</v>
      </c>
      <c r="G95" s="200">
        <f>G94/G64</f>
        <v>0.21755865600000002</v>
      </c>
      <c r="H95" s="200">
        <f>H65</f>
        <v>0</v>
      </c>
      <c r="I95" s="200">
        <f>SUM(C95:H95)</f>
        <v>1.6196798131199994</v>
      </c>
      <c r="J95" s="149" t="s">
        <v>540</v>
      </c>
      <c r="K95" s="161" t="s">
        <v>438</v>
      </c>
      <c r="L95" s="169" t="s">
        <v>633</v>
      </c>
    </row>
    <row r="96" spans="1:12" x14ac:dyDescent="0.25">
      <c r="A96" s="731"/>
      <c r="B96" s="2" t="s">
        <v>543</v>
      </c>
      <c r="C96" s="56">
        <v>192</v>
      </c>
      <c r="D96" s="56">
        <v>192</v>
      </c>
      <c r="E96" s="56">
        <v>192</v>
      </c>
      <c r="F96" s="56">
        <v>192</v>
      </c>
      <c r="G96" s="56">
        <v>192</v>
      </c>
      <c r="H96" s="50"/>
      <c r="I96" s="50"/>
      <c r="J96" s="3" t="s">
        <v>544</v>
      </c>
      <c r="K96" s="160" t="s">
        <v>552</v>
      </c>
      <c r="L96" s="180"/>
    </row>
    <row r="97" spans="1:12" ht="29.25" x14ac:dyDescent="0.25">
      <c r="A97" s="731"/>
      <c r="B97" s="173" t="s">
        <v>546</v>
      </c>
      <c r="C97" s="57">
        <f t="shared" ref="C97:H97" si="30">C96*C95</f>
        <v>85.465497599999992</v>
      </c>
      <c r="D97" s="57">
        <f t="shared" si="30"/>
        <v>21.633454079999993</v>
      </c>
      <c r="E97" s="57">
        <f t="shared" si="30"/>
        <v>7.5836384870400018</v>
      </c>
      <c r="F97" s="57">
        <f t="shared" si="30"/>
        <v>154.52467199999992</v>
      </c>
      <c r="G97" s="57">
        <f t="shared" si="30"/>
        <v>41.771261952000003</v>
      </c>
      <c r="H97" s="57">
        <f t="shared" si="30"/>
        <v>0</v>
      </c>
      <c r="I97" s="57">
        <f>SUM(C97:H97)</f>
        <v>310.97852411903989</v>
      </c>
      <c r="J97" s="149" t="s">
        <v>547</v>
      </c>
      <c r="K97" s="161" t="s">
        <v>443</v>
      </c>
      <c r="L97" s="169" t="s">
        <v>634</v>
      </c>
    </row>
    <row r="98" spans="1:12" x14ac:dyDescent="0.25">
      <c r="A98" s="731"/>
      <c r="B98" s="3" t="s">
        <v>550</v>
      </c>
      <c r="C98" s="195">
        <v>1</v>
      </c>
      <c r="D98" s="195">
        <v>1</v>
      </c>
      <c r="E98" s="195">
        <v>1</v>
      </c>
      <c r="F98" s="195">
        <v>1</v>
      </c>
      <c r="G98" s="195">
        <v>1</v>
      </c>
      <c r="H98" s="196"/>
      <c r="I98" s="196">
        <f>SUM(C98:H98)</f>
        <v>5</v>
      </c>
      <c r="J98" s="3" t="s">
        <v>551</v>
      </c>
      <c r="K98" s="160" t="s">
        <v>567</v>
      </c>
      <c r="L98" s="180"/>
    </row>
    <row r="99" spans="1:12" x14ac:dyDescent="0.25">
      <c r="A99" s="731"/>
      <c r="B99" s="3" t="s">
        <v>553</v>
      </c>
      <c r="C99" s="56">
        <v>150</v>
      </c>
      <c r="D99" s="56">
        <v>150</v>
      </c>
      <c r="E99" s="56">
        <v>150</v>
      </c>
      <c r="F99" s="56">
        <v>150</v>
      </c>
      <c r="G99" s="56">
        <v>150</v>
      </c>
      <c r="H99" s="50"/>
      <c r="I99" s="50"/>
      <c r="J99" s="3" t="s">
        <v>554</v>
      </c>
      <c r="K99" s="160" t="s">
        <v>570</v>
      </c>
      <c r="L99" s="180"/>
    </row>
    <row r="100" spans="1:12" x14ac:dyDescent="0.25">
      <c r="A100" s="732"/>
      <c r="B100" s="173" t="s">
        <v>556</v>
      </c>
      <c r="C100" s="57">
        <f t="shared" ref="C100:H100" si="31">C99*C98</f>
        <v>150</v>
      </c>
      <c r="D100" s="57">
        <f t="shared" si="31"/>
        <v>150</v>
      </c>
      <c r="E100" s="57">
        <f t="shared" si="31"/>
        <v>150</v>
      </c>
      <c r="F100" s="57">
        <f t="shared" si="31"/>
        <v>150</v>
      </c>
      <c r="G100" s="57">
        <f t="shared" si="31"/>
        <v>150</v>
      </c>
      <c r="H100" s="57">
        <f t="shared" si="31"/>
        <v>0</v>
      </c>
      <c r="I100" s="57"/>
      <c r="J100" s="149" t="s">
        <v>557</v>
      </c>
      <c r="K100" s="161" t="s">
        <v>447</v>
      </c>
      <c r="L100" s="169" t="s">
        <v>635</v>
      </c>
    </row>
    <row r="101" spans="1:12" x14ac:dyDescent="0.25">
      <c r="A101" s="314"/>
      <c r="B101" s="149" t="s">
        <v>82</v>
      </c>
      <c r="C101" s="57">
        <f t="shared" ref="C101:H101" si="32">C100+C97</f>
        <v>235.46549759999999</v>
      </c>
      <c r="D101" s="57">
        <f t="shared" si="32"/>
        <v>171.63345407999998</v>
      </c>
      <c r="E101" s="57">
        <f t="shared" si="32"/>
        <v>157.58363848703999</v>
      </c>
      <c r="F101" s="57">
        <f t="shared" si="32"/>
        <v>304.5246719999999</v>
      </c>
      <c r="G101" s="57">
        <f t="shared" si="32"/>
        <v>191.771261952</v>
      </c>
      <c r="H101" s="57">
        <f t="shared" si="32"/>
        <v>0</v>
      </c>
      <c r="I101" s="57">
        <f>SUM(C101:H101)</f>
        <v>1060.9785241190398</v>
      </c>
      <c r="J101" s="149" t="s">
        <v>560</v>
      </c>
      <c r="K101" s="161" t="s">
        <v>454</v>
      </c>
      <c r="L101" s="169" t="s">
        <v>636</v>
      </c>
    </row>
    <row r="102" spans="1:12" x14ac:dyDescent="0.25">
      <c r="A102" s="172"/>
      <c r="B102" s="153"/>
      <c r="C102" s="66"/>
      <c r="D102" s="67"/>
      <c r="E102" s="67"/>
      <c r="F102" s="67"/>
      <c r="G102" s="67"/>
      <c r="H102" s="67"/>
      <c r="I102" s="67"/>
      <c r="J102" s="153"/>
      <c r="K102" s="163"/>
      <c r="L102" s="181"/>
    </row>
    <row r="103" spans="1:12" ht="40.9" customHeight="1" x14ac:dyDescent="0.25">
      <c r="A103" s="733" t="s">
        <v>34</v>
      </c>
      <c r="B103" s="54" t="s">
        <v>563</v>
      </c>
      <c r="C103" s="65"/>
      <c r="D103" s="51"/>
      <c r="E103" s="51"/>
      <c r="F103" s="51"/>
      <c r="G103" s="51"/>
      <c r="H103" s="51"/>
      <c r="I103" s="51"/>
      <c r="J103" s="151"/>
      <c r="K103" s="167"/>
      <c r="L103" s="171"/>
    </row>
    <row r="104" spans="1:12" ht="29.25" x14ac:dyDescent="0.25">
      <c r="A104" s="734"/>
      <c r="B104" s="3" t="s">
        <v>564</v>
      </c>
      <c r="C104" s="253"/>
      <c r="D104" s="141"/>
      <c r="E104" s="141"/>
      <c r="F104" s="141"/>
      <c r="G104" s="141"/>
      <c r="H104" s="142"/>
      <c r="I104" s="236">
        <v>5</v>
      </c>
      <c r="J104" s="3" t="s">
        <v>566</v>
      </c>
      <c r="K104" s="166" t="s">
        <v>586</v>
      </c>
      <c r="L104" s="180"/>
    </row>
    <row r="105" spans="1:12" x14ac:dyDescent="0.25">
      <c r="A105" s="734"/>
      <c r="B105" s="3" t="s">
        <v>568</v>
      </c>
      <c r="C105" s="143"/>
      <c r="D105" s="143"/>
      <c r="E105" s="143"/>
      <c r="F105" s="143"/>
      <c r="G105" s="143"/>
      <c r="H105" s="144"/>
      <c r="I105" s="56">
        <v>125</v>
      </c>
      <c r="J105" s="48" t="s">
        <v>569</v>
      </c>
      <c r="K105" s="160" t="s">
        <v>589</v>
      </c>
      <c r="L105" s="180"/>
    </row>
    <row r="106" spans="1:12" x14ac:dyDescent="0.25">
      <c r="A106" s="734"/>
      <c r="B106" s="149" t="s">
        <v>571</v>
      </c>
      <c r="C106" s="143"/>
      <c r="D106" s="143"/>
      <c r="E106" s="143"/>
      <c r="F106" s="143"/>
      <c r="G106" s="143"/>
      <c r="H106" s="143"/>
      <c r="I106" s="57">
        <f>I104*I105</f>
        <v>625</v>
      </c>
      <c r="J106" s="149" t="s">
        <v>572</v>
      </c>
      <c r="K106" s="161" t="s">
        <v>458</v>
      </c>
      <c r="L106" s="184" t="s">
        <v>593</v>
      </c>
    </row>
    <row r="107" spans="1:12" ht="29.25" x14ac:dyDescent="0.25">
      <c r="A107" s="734"/>
      <c r="B107" s="3" t="s">
        <v>574</v>
      </c>
      <c r="C107" s="254"/>
      <c r="D107" s="144"/>
      <c r="E107" s="144"/>
      <c r="F107" s="144"/>
      <c r="G107" s="144"/>
      <c r="H107" s="144"/>
      <c r="I107" s="195">
        <v>10</v>
      </c>
      <c r="J107" s="3" t="s">
        <v>575</v>
      </c>
      <c r="K107" s="160" t="s">
        <v>596</v>
      </c>
      <c r="L107" s="187"/>
    </row>
    <row r="108" spans="1:12" ht="29.25" x14ac:dyDescent="0.25">
      <c r="A108" s="734"/>
      <c r="B108" s="3" t="s">
        <v>577</v>
      </c>
      <c r="C108" s="143"/>
      <c r="D108" s="145"/>
      <c r="E108" s="145"/>
      <c r="F108" s="145"/>
      <c r="G108" s="145"/>
      <c r="H108" s="145"/>
      <c r="I108" s="56">
        <v>180</v>
      </c>
      <c r="J108" s="3" t="s">
        <v>578</v>
      </c>
      <c r="K108" s="160" t="s">
        <v>637</v>
      </c>
      <c r="L108" s="180"/>
    </row>
    <row r="109" spans="1:12" ht="29.25" x14ac:dyDescent="0.25">
      <c r="A109" s="734"/>
      <c r="B109" s="149" t="s">
        <v>580</v>
      </c>
      <c r="C109" s="143"/>
      <c r="D109" s="143"/>
      <c r="E109" s="143"/>
      <c r="F109" s="143"/>
      <c r="G109" s="143"/>
      <c r="H109" s="143"/>
      <c r="I109" s="57">
        <f>I107*I108</f>
        <v>1800</v>
      </c>
      <c r="J109" s="149" t="s">
        <v>581</v>
      </c>
      <c r="K109" s="161" t="s">
        <v>462</v>
      </c>
      <c r="L109" s="169" t="s">
        <v>638</v>
      </c>
    </row>
    <row r="110" spans="1:12" ht="29.25" x14ac:dyDescent="0.25">
      <c r="A110" s="734"/>
      <c r="B110" s="3" t="s">
        <v>584</v>
      </c>
      <c r="C110" s="254"/>
      <c r="D110" s="144"/>
      <c r="E110" s="144"/>
      <c r="F110" s="144"/>
      <c r="G110" s="144"/>
      <c r="H110" s="144"/>
      <c r="I110" s="195">
        <v>5</v>
      </c>
      <c r="J110" s="3" t="s">
        <v>585</v>
      </c>
      <c r="K110" s="160" t="s">
        <v>607</v>
      </c>
      <c r="L110" s="187"/>
    </row>
    <row r="111" spans="1:12" ht="29.25" x14ac:dyDescent="0.25">
      <c r="A111" s="734"/>
      <c r="B111" s="3" t="s">
        <v>587</v>
      </c>
      <c r="C111" s="143"/>
      <c r="D111" s="145"/>
      <c r="E111" s="145"/>
      <c r="F111" s="145"/>
      <c r="G111" s="145"/>
      <c r="H111" s="145"/>
      <c r="I111" s="56">
        <v>300</v>
      </c>
      <c r="J111" s="3" t="s">
        <v>588</v>
      </c>
      <c r="K111" s="160" t="s">
        <v>639</v>
      </c>
      <c r="L111" s="180"/>
    </row>
    <row r="112" spans="1:12" x14ac:dyDescent="0.25">
      <c r="A112" s="734"/>
      <c r="B112" s="149" t="s">
        <v>590</v>
      </c>
      <c r="C112" s="143"/>
      <c r="D112" s="143"/>
      <c r="E112" s="143"/>
      <c r="F112" s="143"/>
      <c r="G112" s="143"/>
      <c r="H112" s="143"/>
      <c r="I112" s="57">
        <f>I110*I111</f>
        <v>1500</v>
      </c>
      <c r="J112" s="149" t="s">
        <v>591</v>
      </c>
      <c r="K112" s="162" t="s">
        <v>472</v>
      </c>
      <c r="L112" s="169" t="s">
        <v>640</v>
      </c>
    </row>
    <row r="113" spans="1:13" ht="43.5" x14ac:dyDescent="0.25">
      <c r="A113" s="734"/>
      <c r="B113" s="3" t="s">
        <v>594</v>
      </c>
      <c r="C113" s="255"/>
      <c r="D113" s="144"/>
      <c r="E113" s="145"/>
      <c r="F113" s="144"/>
      <c r="G113" s="144"/>
      <c r="H113" s="144"/>
      <c r="I113" s="61">
        <v>0.1</v>
      </c>
      <c r="J113" s="3" t="s">
        <v>641</v>
      </c>
      <c r="K113" s="160" t="s">
        <v>642</v>
      </c>
      <c r="L113" s="180"/>
    </row>
    <row r="114" spans="1:13" x14ac:dyDescent="0.25">
      <c r="A114" s="735"/>
      <c r="B114" s="149" t="s">
        <v>597</v>
      </c>
      <c r="C114" s="143"/>
      <c r="D114" s="143"/>
      <c r="E114" s="143"/>
      <c r="F114" s="143"/>
      <c r="G114" s="143"/>
      <c r="H114" s="143"/>
      <c r="I114" s="57">
        <f>I72*I113</f>
        <v>2552.63544</v>
      </c>
      <c r="J114" s="149" t="s">
        <v>598</v>
      </c>
      <c r="K114" s="161" t="s">
        <v>479</v>
      </c>
      <c r="L114" s="169" t="s">
        <v>643</v>
      </c>
    </row>
    <row r="115" spans="1:13" ht="29.25" x14ac:dyDescent="0.25">
      <c r="A115" s="315"/>
      <c r="B115" s="149" t="s">
        <v>601</v>
      </c>
      <c r="C115" s="143"/>
      <c r="D115" s="143"/>
      <c r="E115" s="143"/>
      <c r="F115" s="143"/>
      <c r="G115" s="143"/>
      <c r="H115" s="143"/>
      <c r="I115" s="57">
        <f>I106+I109+I112+I114</f>
        <v>6477.63544</v>
      </c>
      <c r="J115" s="149" t="s">
        <v>602</v>
      </c>
      <c r="K115" s="161" t="s">
        <v>492</v>
      </c>
      <c r="L115" s="169" t="s">
        <v>644</v>
      </c>
    </row>
    <row r="116" spans="1:13" ht="29.25" x14ac:dyDescent="0.25">
      <c r="A116" s="316"/>
      <c r="B116" s="149" t="s">
        <v>605</v>
      </c>
      <c r="C116" s="143"/>
      <c r="D116" s="143"/>
      <c r="E116" s="143"/>
      <c r="F116" s="143"/>
      <c r="G116" s="143"/>
      <c r="H116" s="143"/>
      <c r="I116" s="60">
        <v>5</v>
      </c>
      <c r="J116" s="149" t="s">
        <v>606</v>
      </c>
      <c r="K116" s="161" t="s">
        <v>645</v>
      </c>
      <c r="L116" s="169"/>
    </row>
    <row r="117" spans="1:13" ht="43.5" x14ac:dyDescent="0.25">
      <c r="A117" s="316"/>
      <c r="B117" s="149" t="s">
        <v>352</v>
      </c>
      <c r="C117" s="57">
        <f>I115/I116</f>
        <v>1295.527088</v>
      </c>
      <c r="D117" s="57">
        <f>I115/I116</f>
        <v>1295.527088</v>
      </c>
      <c r="E117" s="57">
        <f>I115/I116</f>
        <v>1295.527088</v>
      </c>
      <c r="F117" s="57">
        <f>I115/I116</f>
        <v>1295.527088</v>
      </c>
      <c r="G117" s="57">
        <f>I115/I116</f>
        <v>1295.527088</v>
      </c>
      <c r="H117" s="57"/>
      <c r="I117" s="258">
        <f>SUM(C117:H117)</f>
        <v>6477.63544</v>
      </c>
      <c r="J117" s="149" t="s">
        <v>608</v>
      </c>
      <c r="K117" s="161" t="s">
        <v>492</v>
      </c>
      <c r="L117" s="169" t="s">
        <v>646</v>
      </c>
    </row>
    <row r="118" spans="1:13" ht="15.75" x14ac:dyDescent="0.25">
      <c r="A118" s="317"/>
      <c r="B118" s="8"/>
      <c r="C118" s="66"/>
      <c r="D118" s="67"/>
      <c r="E118" s="67"/>
      <c r="F118" s="67"/>
      <c r="G118" s="67"/>
      <c r="H118" s="67"/>
      <c r="I118" s="67"/>
      <c r="J118" s="212"/>
      <c r="K118" s="4"/>
      <c r="L118" s="172"/>
    </row>
    <row r="119" spans="1:13" ht="45" x14ac:dyDescent="0.25">
      <c r="A119" s="318"/>
      <c r="B119" s="210" t="s">
        <v>611</v>
      </c>
      <c r="C119" s="211">
        <f t="shared" ref="C119:H119" si="33">SUM(C18,C32,C50,C61,C91,C101,C117)</f>
        <v>34155.056585600003</v>
      </c>
      <c r="D119" s="211">
        <f t="shared" si="33"/>
        <v>10623.917208746667</v>
      </c>
      <c r="E119" s="211">
        <f t="shared" si="33"/>
        <v>8562.3738603537076</v>
      </c>
      <c r="F119" s="211">
        <f t="shared" si="33"/>
        <v>48740.093426666659</v>
      </c>
      <c r="G119" s="211">
        <f t="shared" si="33"/>
        <v>23610.231243285329</v>
      </c>
      <c r="H119" s="211">
        <f t="shared" si="33"/>
        <v>0</v>
      </c>
      <c r="I119" s="259">
        <f>SUM(C119:H119)</f>
        <v>125691.67232465235</v>
      </c>
      <c r="J119" s="213"/>
      <c r="K119" s="214"/>
      <c r="L119" s="215" t="s">
        <v>647</v>
      </c>
    </row>
    <row r="120" spans="1:13" ht="18" x14ac:dyDescent="0.25">
      <c r="C120" s="146"/>
    </row>
    <row r="121" spans="1:13" ht="33" customHeight="1" x14ac:dyDescent="0.25">
      <c r="A121" s="630" t="s">
        <v>10</v>
      </c>
      <c r="B121" s="630"/>
      <c r="C121" s="630"/>
      <c r="D121" s="630"/>
      <c r="E121" s="630"/>
      <c r="F121" s="630"/>
      <c r="G121" s="630"/>
      <c r="H121" s="630"/>
      <c r="I121" s="630"/>
      <c r="J121" s="630"/>
      <c r="K121" s="630"/>
      <c r="L121" s="630"/>
      <c r="M121" s="301"/>
    </row>
  </sheetData>
  <mergeCells count="14">
    <mergeCell ref="A121:L121"/>
    <mergeCell ref="B1:L1"/>
    <mergeCell ref="J2:L4"/>
    <mergeCell ref="C2:I4"/>
    <mergeCell ref="B2:B4"/>
    <mergeCell ref="A93:A100"/>
    <mergeCell ref="A103:A114"/>
    <mergeCell ref="A2:A16"/>
    <mergeCell ref="A20:A23"/>
    <mergeCell ref="A26:A31"/>
    <mergeCell ref="A52:A59"/>
    <mergeCell ref="A34:A49"/>
    <mergeCell ref="A68:A90"/>
    <mergeCell ref="A63:A66"/>
  </mergeCell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66D44C5FB82634BAF351164E24B5115" ma:contentTypeVersion="10" ma:contentTypeDescription="Create a new document." ma:contentTypeScope="" ma:versionID="98a29bdbd98c3183a9757c783b3e57a2">
  <xsd:schema xmlns:xsd="http://www.w3.org/2001/XMLSchema" xmlns:xs="http://www.w3.org/2001/XMLSchema" xmlns:p="http://schemas.microsoft.com/office/2006/metadata/properties" xmlns:ns2="e95d0864-d29e-4b0c-a345-dda819893b32" targetNamespace="http://schemas.microsoft.com/office/2006/metadata/properties" ma:root="true" ma:fieldsID="341fce0383b506036ecfeecd89880739" ns2:_="">
    <xsd:import namespace="e95d0864-d29e-4b0c-a345-dda819893b3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5d0864-d29e-4b0c-a345-dda819893b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7202AF-BABE-41A9-9B6E-C514097D4DD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8000CE2-C239-42C6-99FF-F39B5F64A3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5d0864-d29e-4b0c-a345-dda819893b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F481A2-1B14-4457-8CB1-12426A75A3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Judicial Dashboard</vt:lpstr>
      <vt:lpstr>Judicial Detail View</vt:lpstr>
      <vt:lpstr>Attorney Detail View</vt:lpstr>
      <vt:lpstr>2. Costs</vt:lpstr>
      <vt:lpstr>3. TAR Assumptions</vt:lpstr>
      <vt:lpstr>1 - Data Source Estimates</vt:lpstr>
      <vt:lpstr>4. TAR 1.0 Calculations</vt:lpstr>
      <vt:lpstr>4A. LINEAR REVIEW Calculations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kate obrien</dc:creator>
  <cp:keywords/>
  <dc:description/>
  <cp:lastModifiedBy>johnk</cp:lastModifiedBy>
  <cp:revision/>
  <dcterms:created xsi:type="dcterms:W3CDTF">2021-02-03T18:16:30Z</dcterms:created>
  <dcterms:modified xsi:type="dcterms:W3CDTF">2022-08-14T16:23:50Z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0x010100F66D44C5FB82634BAF351164E24B5115</vt:lpwstr>
  </property>
</Properties>
</file>